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760"/>
  </bookViews>
  <sheets>
    <sheet name="баланс" sheetId="1" r:id="rId1"/>
    <sheet name="ОПиУ" sheetId="2" r:id="rId2"/>
    <sheet name="ОДД" sheetId="5" r:id="rId3"/>
    <sheet name="Капитал" sheetId="4" r:id="rId4"/>
  </sheets>
  <definedNames>
    <definedName name="sub1001579235" localSheetId="0">баланс!#REF!</definedName>
    <definedName name="sub1001579236" localSheetId="1">ОПиУ!#REF!</definedName>
    <definedName name="_SUB2" localSheetId="0">баланс!#REF!</definedName>
    <definedName name="_SUB3" localSheetId="1">ОПиУ!#REF!</definedName>
    <definedName name="_SUB4" localSheetId="2">ОДД!#REF!</definedName>
    <definedName name="_SUB6" localSheetId="3">Капитал!#REF!</definedName>
    <definedName name="_xlnm.Print_Titles" localSheetId="3">Капитал!$11:$12</definedName>
    <definedName name="_xlnm.Print_Area" localSheetId="0">баланс!$A$1:$D$88</definedName>
    <definedName name="_xlnm.Print_Area" localSheetId="3">Капитал!$A$5:$I$83</definedName>
    <definedName name="_xlnm.Print_Area" localSheetId="2">ОДД!$A$6:$D$87</definedName>
    <definedName name="_xlnm.Print_Area" localSheetId="1">ОПиУ!$A$1:$D$61</definedName>
  </definedNames>
  <calcPr calcId="145621" fullCalcOnLoad="1"/>
</workbook>
</file>

<file path=xl/calcChain.xml><?xml version="1.0" encoding="utf-8"?>
<calcChain xmlns="http://schemas.openxmlformats.org/spreadsheetml/2006/main">
  <c r="M20" i="2" l="1"/>
  <c r="M21" i="2"/>
  <c r="M18" i="2"/>
  <c r="M23" i="2"/>
  <c r="I37" i="5"/>
  <c r="I18" i="5"/>
  <c r="I77" i="5"/>
  <c r="I26" i="5"/>
  <c r="I52" i="5"/>
  <c r="I27" i="5"/>
  <c r="I20" i="5"/>
  <c r="I31" i="5"/>
  <c r="I32" i="5"/>
  <c r="I23" i="5"/>
  <c r="I28" i="5"/>
  <c r="D52" i="5"/>
  <c r="D32" i="5"/>
  <c r="D31" i="5"/>
  <c r="D30" i="5"/>
  <c r="D28" i="5"/>
  <c r="D27" i="5"/>
  <c r="D26" i="5"/>
  <c r="D23" i="5"/>
  <c r="D20" i="5"/>
  <c r="D18" i="5"/>
  <c r="M17" i="2"/>
  <c r="M13" i="2"/>
  <c r="M12" i="2"/>
  <c r="D23" i="2"/>
  <c r="D21" i="2"/>
  <c r="D20" i="2"/>
  <c r="D18" i="2"/>
  <c r="D17" i="2"/>
  <c r="D13" i="2"/>
  <c r="D12" i="2"/>
  <c r="G74" i="1"/>
  <c r="G61" i="1"/>
  <c r="G57" i="1"/>
  <c r="G32" i="1"/>
  <c r="G30" i="1"/>
  <c r="G29" i="1"/>
  <c r="G23" i="1"/>
  <c r="D74" i="1"/>
  <c r="D61" i="1"/>
  <c r="D57" i="1"/>
  <c r="D40" i="1"/>
  <c r="D50" i="1" s="1"/>
  <c r="D32" i="1"/>
  <c r="D30" i="1"/>
  <c r="D29" i="1"/>
  <c r="D23" i="1"/>
  <c r="C62" i="1"/>
  <c r="C48" i="5"/>
  <c r="C16" i="5"/>
  <c r="C63" i="5"/>
  <c r="H49" i="4"/>
  <c r="G49" i="4"/>
  <c r="F49" i="4"/>
  <c r="F47" i="4" s="1"/>
  <c r="E78" i="1"/>
  <c r="C14" i="2"/>
  <c r="C79" i="1"/>
  <c r="C81" i="1" s="1"/>
  <c r="C82" i="1" s="1"/>
  <c r="D79" i="1"/>
  <c r="D81" i="1" s="1"/>
  <c r="C50" i="1"/>
  <c r="D69" i="5"/>
  <c r="C69" i="5"/>
  <c r="D63" i="5"/>
  <c r="D76" i="5" s="1"/>
  <c r="D48" i="5"/>
  <c r="D35" i="5"/>
  <c r="D61" i="5"/>
  <c r="C35" i="5"/>
  <c r="D16" i="5"/>
  <c r="I13" i="4"/>
  <c r="I14" i="4"/>
  <c r="C15" i="4"/>
  <c r="D15" i="4"/>
  <c r="E15" i="4"/>
  <c r="F15" i="4"/>
  <c r="G15" i="4"/>
  <c r="I15" i="4"/>
  <c r="H15" i="4"/>
  <c r="I17" i="4"/>
  <c r="C18" i="4"/>
  <c r="C16" i="4"/>
  <c r="D18" i="4"/>
  <c r="D16" i="4"/>
  <c r="E18" i="4"/>
  <c r="E16" i="4"/>
  <c r="E44" i="4" s="1"/>
  <c r="E46" i="4" s="1"/>
  <c r="E75" i="4" s="1"/>
  <c r="F18" i="4"/>
  <c r="F16" i="4"/>
  <c r="G18" i="4"/>
  <c r="I18" i="4" s="1"/>
  <c r="H18" i="4"/>
  <c r="H16" i="4" s="1"/>
  <c r="H44" i="4" s="1"/>
  <c r="H46" i="4" s="1"/>
  <c r="H75" i="4" s="1"/>
  <c r="I19" i="4"/>
  <c r="I20" i="4"/>
  <c r="I21" i="4"/>
  <c r="I22" i="4"/>
  <c r="I23" i="4"/>
  <c r="I24" i="4"/>
  <c r="I25" i="4"/>
  <c r="I26" i="4"/>
  <c r="I27" i="4"/>
  <c r="I28" i="4"/>
  <c r="C29" i="4"/>
  <c r="D29" i="4"/>
  <c r="E29" i="4"/>
  <c r="F29" i="4"/>
  <c r="G29" i="4"/>
  <c r="H29" i="4"/>
  <c r="I29" i="4" s="1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5" i="4"/>
  <c r="H47" i="4"/>
  <c r="C49" i="4"/>
  <c r="C47" i="4" s="1"/>
  <c r="D49" i="4"/>
  <c r="E49" i="4"/>
  <c r="E47" i="4"/>
  <c r="I50" i="4"/>
  <c r="I51" i="4"/>
  <c r="I52" i="4"/>
  <c r="I53" i="4"/>
  <c r="I54" i="4"/>
  <c r="I55" i="4"/>
  <c r="I56" i="4"/>
  <c r="I57" i="4"/>
  <c r="I58" i="4"/>
  <c r="I59" i="4"/>
  <c r="C60" i="4"/>
  <c r="D60" i="4"/>
  <c r="E60" i="4"/>
  <c r="F60" i="4"/>
  <c r="G60" i="4"/>
  <c r="I60" i="4"/>
  <c r="H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D14" i="2"/>
  <c r="D19" i="2" s="1"/>
  <c r="D25" i="2" s="1"/>
  <c r="D27" i="2" s="1"/>
  <c r="D29" i="2" s="1"/>
  <c r="D45" i="2" s="1"/>
  <c r="C32" i="2"/>
  <c r="D32" i="2"/>
  <c r="D72" i="1"/>
  <c r="C72" i="1"/>
  <c r="D44" i="4"/>
  <c r="D46" i="4" s="1"/>
  <c r="D75" i="4" s="1"/>
  <c r="D47" i="4"/>
  <c r="C79" i="5"/>
  <c r="C44" i="4"/>
  <c r="C46" i="4" s="1"/>
  <c r="C24" i="5"/>
  <c r="C33" i="5" s="1"/>
  <c r="C78" i="5" s="1"/>
  <c r="D62" i="1"/>
  <c r="C33" i="1"/>
  <c r="C51" i="1" s="1"/>
  <c r="D33" i="1"/>
  <c r="D51" i="1" s="1"/>
  <c r="C19" i="2"/>
  <c r="C25" i="2" s="1"/>
  <c r="C27" i="2" s="1"/>
  <c r="C29" i="2" s="1"/>
  <c r="C61" i="5"/>
  <c r="C76" i="5"/>
  <c r="F44" i="4"/>
  <c r="F46" i="4"/>
  <c r="F75" i="4" s="1"/>
  <c r="D24" i="5"/>
  <c r="D33" i="5"/>
  <c r="D78" i="5" s="1"/>
  <c r="G48" i="4" l="1"/>
  <c r="C45" i="2"/>
  <c r="C80" i="5"/>
  <c r="F80" i="5" s="1"/>
  <c r="D82" i="1"/>
  <c r="C75" i="4"/>
  <c r="I49" i="4"/>
  <c r="G16" i="4"/>
  <c r="G47" i="4" l="1"/>
  <c r="I47" i="4" s="1"/>
  <c r="I48" i="4"/>
  <c r="G44" i="4"/>
  <c r="I16" i="4"/>
  <c r="G46" i="4" l="1"/>
  <c r="I44" i="4"/>
  <c r="G75" i="4" l="1"/>
  <c r="I75" i="4" s="1"/>
  <c r="I46" i="4"/>
</calcChain>
</file>

<file path=xl/comments1.xml><?xml version="1.0" encoding="utf-8"?>
<comments xmlns="http://schemas.openxmlformats.org/spreadsheetml/2006/main">
  <authors>
    <author>user</author>
  </authors>
  <commentLis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строка 300 Отчета о прибылях и убытках
</t>
        </r>
      </text>
    </comment>
  </commentList>
</comments>
</file>

<file path=xl/sharedStrings.xml><?xml version="1.0" encoding="utf-8"?>
<sst xmlns="http://schemas.openxmlformats.org/spreadsheetml/2006/main" count="446" uniqueCount="334">
  <si>
    <t>Сведения о реорганизации _______________________________________________________________________________________</t>
  </si>
  <si>
    <t>Организационно-правовая форма________Акционерное общество____________________________________________________________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</si>
  <si>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</si>
  <si>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</si>
  <si>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</si>
  <si>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</si>
  <si>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</si>
  <si>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 xml:space="preserve">На конец отчетного периода </t>
  </si>
  <si>
    <t xml:space="preserve">На начало отчетного периода 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</si>
  <si>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</si>
  <si>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</si>
  <si>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</si>
  <si>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</si>
  <si>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</si>
  <si>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</si>
  <si>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</si>
  <si>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</si>
  <si>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</si>
  <si>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</si>
  <si>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</si>
  <si>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</si>
  <si>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</si>
  <si>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</si>
  <si>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</si>
  <si>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</si>
  <si>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</si>
  <si>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</si>
  <si>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</si>
  <si>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</si>
  <si>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</si>
  <si>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</si>
  <si>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</si>
  <si>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</si>
  <si>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</si>
  <si>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</si>
  <si>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</si>
  <si>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</si>
  <si>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</si>
  <si>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</si>
  <si>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</si>
  <si>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</si>
  <si>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</si>
  <si>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</si>
  <si>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</si>
  <si>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</si>
  <si>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</si>
  <si>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</si>
  <si>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</si>
  <si>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</si>
  <si>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</si>
  <si>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</si>
  <si>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</si>
  <si>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</si>
  <si>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</si>
  <si>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</si>
  <si>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</si>
  <si>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</si>
  <si>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</si>
  <si>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</si>
  <si>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</si>
  <si>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</si>
  <si>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</si>
  <si>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</si>
  <si>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</si>
  <si>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</si>
  <si>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</si>
  <si>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</si>
  <si>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</si>
  <si>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</si>
  <si>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</si>
  <si>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</si>
  <si>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</si>
  <si>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</si>
  <si>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</si>
  <si>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</si>
  <si>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</si>
  <si>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r>
      <t>Наименование организации ____</t>
    </r>
    <r>
      <rPr>
        <b/>
        <sz val="9"/>
        <color indexed="8"/>
        <rFont val="Times New Roman"/>
        <family val="1"/>
        <charset val="204"/>
      </rPr>
      <t>АО "Караганданеруд"_</t>
    </r>
    <r>
      <rPr>
        <sz val="9"/>
        <color indexed="8"/>
        <rFont val="Times New Roman"/>
        <family val="1"/>
        <charset val="204"/>
      </rPr>
      <t>_____________________________________________________</t>
    </r>
  </si>
  <si>
    <r>
      <t>Вид деятельности организации____</t>
    </r>
    <r>
      <rPr>
        <b/>
        <sz val="9"/>
        <color indexed="8"/>
        <rFont val="Times New Roman"/>
        <family val="1"/>
        <charset val="204"/>
      </rPr>
      <t>добыча и переработка строительного камня</t>
    </r>
    <r>
      <rPr>
        <sz val="9"/>
        <color indexed="8"/>
        <rFont val="Times New Roman"/>
        <family val="1"/>
        <charset val="204"/>
      </rPr>
      <t>______________________________</t>
    </r>
  </si>
  <si>
    <t>Отчет о прибылях и убытках</t>
  </si>
  <si>
    <t>тыс. тенге</t>
  </si>
  <si>
    <t>Наименование показателей</t>
  </si>
  <si>
    <t xml:space="preserve">За отчетный период </t>
  </si>
  <si>
    <t xml:space="preserve">За предыдущий период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</si>
  <si>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</si>
  <si>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</si>
  <si>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</si>
  <si>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</si>
  <si>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</si>
  <si>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</si>
  <si>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</si>
  <si>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</si>
  <si>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</si>
  <si>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</si>
  <si>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</si>
  <si>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</si>
  <si>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</si>
  <si>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</si>
  <si>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</si>
  <si>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</si>
  <si>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</si>
  <si>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</si>
  <si>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</si>
  <si>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</si>
  <si>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</si>
  <si>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</si>
  <si>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</si>
  <si>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</si>
  <si>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</si>
  <si>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</si>
  <si>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</si>
  <si>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</si>
  <si>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</si>
  <si>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</si>
  <si>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</si>
  <si>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</si>
  <si>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</si>
  <si>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</si>
  <si>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</si>
  <si>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</si>
  <si>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</si>
  <si>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</si>
  <si>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</si>
  <si>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</si>
  <si>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</si>
  <si>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</si>
  <si>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</si>
  <si>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</si>
  <si>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</si>
  <si>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</si>
  <si>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</si>
  <si>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>Наименование организации ______</t>
    </r>
    <r>
      <rPr>
        <b/>
        <u/>
        <sz val="10"/>
        <color indexed="8"/>
        <rFont val="Times New Roman"/>
        <family val="1"/>
        <charset val="204"/>
      </rPr>
      <t>АО "Караганданеруд"</t>
    </r>
    <r>
      <rPr>
        <b/>
        <sz val="10"/>
        <color indexed="8"/>
        <rFont val="Times New Roman"/>
        <family val="1"/>
        <charset val="204"/>
      </rPr>
      <t>__</t>
    </r>
    <r>
      <rPr>
        <sz val="10"/>
        <color indexed="8"/>
        <rFont val="Times New Roman"/>
        <family val="1"/>
        <charset val="204"/>
      </rPr>
      <t>__________________________________</t>
    </r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</si>
  <si>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</si>
  <si>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</si>
  <si>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</si>
  <si>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</si>
  <si>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</si>
  <si>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</si>
  <si>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</si>
  <si>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</si>
  <si>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</si>
  <si>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</si>
  <si>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</si>
  <si>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</si>
  <si>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</si>
  <si>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</si>
  <si>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</si>
  <si>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</si>
  <si>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</si>
  <si>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</si>
  <si>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</si>
  <si>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</si>
  <si>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</si>
  <si>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</si>
  <si>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</si>
  <si>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</si>
  <si>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</si>
  <si>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</si>
  <si>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</si>
  <si>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</si>
  <si>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</si>
  <si>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</si>
  <si>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</si>
  <si>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</si>
  <si>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</si>
  <si>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</si>
  <si>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</si>
  <si>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</si>
  <si>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</si>
  <si>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</si>
  <si>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</si>
  <si>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</si>
  <si>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</si>
  <si>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</si>
  <si>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</si>
  <si>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</si>
  <si>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</si>
  <si>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</si>
  <si>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</si>
  <si>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</si>
  <si>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</si>
  <si>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</si>
  <si>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</si>
  <si>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</si>
  <si>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</si>
  <si>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</si>
  <si>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</si>
  <si>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</si>
  <si>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</si>
  <si>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</si>
  <si>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</si>
  <si>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</si>
  <si>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</si>
  <si>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</si>
  <si>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</si>
  <si>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</si>
  <si>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</si>
  <si>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</si>
  <si>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</si>
  <si>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</si>
  <si>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</si>
  <si>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</si>
  <si>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</si>
  <si>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</si>
  <si>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</si>
  <si>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</si>
  <si>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</si>
  <si>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</si>
  <si>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</si>
  <si>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</si>
  <si>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</si>
  <si>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</si>
  <si>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</si>
  <si>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</si>
  <si>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</si>
  <si>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</si>
  <si>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</si>
  <si>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</si>
  <si>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</si>
  <si>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</si>
  <si>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</si>
  <si>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</si>
  <si>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</si>
  <si>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</si>
  <si>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</si>
  <si>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</si>
  <si>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</si>
  <si>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</si>
  <si>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</si>
  <si>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</si>
  <si>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</si>
  <si>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</si>
  <si>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</si>
  <si>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</si>
  <si>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</si>
  <si>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</si>
  <si>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</si>
  <si>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</si>
  <si>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</si>
  <si>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</si>
  <si>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</si>
  <si>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</si>
  <si>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</si>
  <si>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</si>
  <si>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</si>
  <si>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</si>
  <si>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</si>
  <si>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</si>
  <si>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</si>
  <si>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Прибыль (убыток) за отчетный период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</si>
  <si>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</si>
  <si>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</si>
  <si>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</si>
  <si>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</si>
  <si>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</si>
  <si>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тысяч тенге</t>
  </si>
  <si>
    <r>
      <t>Субъект предпринимательства ________________</t>
    </r>
    <r>
      <rPr>
        <b/>
        <sz val="9"/>
        <color indexed="8"/>
        <rFont val="Times New Roman"/>
        <family val="1"/>
        <charset val="204"/>
      </rPr>
      <t>субъект среднего предпринимательства</t>
    </r>
    <r>
      <rPr>
        <sz val="9"/>
        <color indexed="8"/>
        <rFont val="Times New Roman"/>
        <family val="1"/>
        <charset val="204"/>
      </rPr>
      <t>________________________</t>
    </r>
  </si>
  <si>
    <t>сч 6010-сч6020</t>
  </si>
  <si>
    <t>сч 7110</t>
  </si>
  <si>
    <t>сч 7210</t>
  </si>
  <si>
    <t>сч 5420 списан на фин результат прошл период в 2014г</t>
  </si>
  <si>
    <r>
      <t>Президент:</t>
    </r>
    <r>
      <rPr>
        <sz val="9"/>
        <color indexed="8"/>
        <rFont val="Times New Roman"/>
        <family val="1"/>
        <charset val="204"/>
      </rPr>
      <t>_______</t>
    </r>
    <r>
      <rPr>
        <u/>
        <sz val="9"/>
        <color indexed="8"/>
        <rFont val="Times New Roman"/>
        <family val="1"/>
        <charset val="204"/>
      </rPr>
      <t>Рудаков А.А..</t>
    </r>
    <r>
      <rPr>
        <sz val="9"/>
        <color indexed="8"/>
        <rFont val="Times New Roman"/>
        <family val="1"/>
        <charset val="204"/>
      </rPr>
      <t>________________ ________________</t>
    </r>
  </si>
  <si>
    <r>
      <t>Главный бухгалтер :___</t>
    </r>
    <r>
      <rPr>
        <u/>
        <sz val="9"/>
        <color indexed="8"/>
        <rFont val="Times New Roman"/>
        <family val="1"/>
        <charset val="204"/>
      </rPr>
      <t>Зинченко С.Г.</t>
    </r>
    <r>
      <rPr>
        <b/>
        <u/>
        <sz val="9"/>
        <color indexed="8"/>
        <rFont val="Times New Roman"/>
        <family val="1"/>
        <charset val="204"/>
      </rPr>
      <t>.</t>
    </r>
    <r>
      <rPr>
        <sz val="9"/>
        <color indexed="8"/>
        <rFont val="Times New Roman"/>
        <family val="1"/>
        <charset val="204"/>
      </rPr>
      <t>____________ ________________</t>
    </r>
  </si>
  <si>
    <r>
      <t>Главный бухгалтер:</t>
    </r>
    <r>
      <rPr>
        <sz val="9"/>
        <color indexed="8"/>
        <rFont val="Times New Roman"/>
        <family val="1"/>
        <charset val="204"/>
      </rPr>
      <t xml:space="preserve"> ____</t>
    </r>
    <r>
      <rPr>
        <u/>
        <sz val="9"/>
        <color indexed="8"/>
        <rFont val="Times New Roman"/>
        <family val="1"/>
        <charset val="204"/>
      </rPr>
      <t>Зинченко С.Г.</t>
    </r>
    <r>
      <rPr>
        <sz val="9"/>
        <color indexed="8"/>
        <rFont val="Times New Roman"/>
        <family val="1"/>
        <charset val="204"/>
      </rPr>
      <t>____________ ________________</t>
    </r>
  </si>
  <si>
    <t>Приложение 2</t>
  </si>
  <si>
    <t xml:space="preserve"> к приказу Министра финансов РК</t>
  </si>
  <si>
    <t>от 27 февраля 2015 года года № 143</t>
  </si>
  <si>
    <t>Форма 1</t>
  </si>
  <si>
    <r>
      <t xml:space="preserve">Форма отчетности: </t>
    </r>
    <r>
      <rPr>
        <strike/>
        <sz val="9"/>
        <color indexed="8"/>
        <rFont val="Times New Roman"/>
        <family val="1"/>
        <charset val="204"/>
      </rPr>
      <t>консолидированная</t>
    </r>
    <r>
      <rPr>
        <sz val="9"/>
        <color indexed="8"/>
        <rFont val="Times New Roman"/>
        <family val="1"/>
        <charset val="204"/>
      </rPr>
      <t>/</t>
    </r>
    <r>
      <rPr>
        <b/>
        <sz val="9"/>
        <color indexed="8"/>
        <rFont val="Times New Roman"/>
        <family val="1"/>
        <charset val="204"/>
      </rPr>
      <t>неконсолидированная</t>
    </r>
  </si>
  <si>
    <r>
      <t>Среднегодовая численность работников ____________</t>
    </r>
    <r>
      <rPr>
        <b/>
        <sz val="9"/>
        <rFont val="Times New Roman"/>
        <family val="1"/>
        <charset val="204"/>
      </rPr>
      <t>184</t>
    </r>
    <r>
      <rPr>
        <sz val="9"/>
        <rFont val="Times New Roman"/>
        <family val="1"/>
        <charset val="204"/>
      </rPr>
      <t>_______________________________________________ чел.</t>
    </r>
  </si>
  <si>
    <t>Форма собственности</t>
  </si>
  <si>
    <t>частная</t>
  </si>
  <si>
    <r>
      <t>Юридический адрес (организации) ___________</t>
    </r>
    <r>
      <rPr>
        <b/>
        <sz val="9"/>
        <color indexed="8"/>
        <rFont val="Times New Roman"/>
        <family val="1"/>
        <charset val="204"/>
      </rPr>
      <t xml:space="preserve"> 100110, Карагандинская область, Абайский район, поселок Карабас, учетный Квартал 025, строение 343</t>
    </r>
  </si>
  <si>
    <t>по состоянию на 31 декабря 2015 года</t>
  </si>
  <si>
    <t>Приложение3</t>
  </si>
  <si>
    <t>Форма 2</t>
  </si>
  <si>
    <t>Приложение 4</t>
  </si>
  <si>
    <t>Форма 3</t>
  </si>
  <si>
    <t>Приложение 6</t>
  </si>
  <si>
    <t>Форма 4</t>
  </si>
  <si>
    <t>5. Увеличение +/- уменьшение денежных средств (строка 030 +/- строка 080 +/- строка 110+/- строка 120)</t>
  </si>
  <si>
    <t>сч 1010, 1030, 1050 депозиты кроме ЛФ</t>
  </si>
  <si>
    <t>сч 1200,1610</t>
  </si>
  <si>
    <t>сч 1410, 1411</t>
  </si>
  <si>
    <t>сч 1300</t>
  </si>
  <si>
    <t>сч 1420, 1430, 1620</t>
  </si>
  <si>
    <t>сч 1500</t>
  </si>
  <si>
    <t>сч 1050 депозит</t>
  </si>
  <si>
    <t>сч 2170</t>
  </si>
  <si>
    <t>сч 2300</t>
  </si>
  <si>
    <t>сч 2400</t>
  </si>
  <si>
    <t>сч 2700</t>
  </si>
  <si>
    <t>сч 2810</t>
  </si>
  <si>
    <t>сч 2900</t>
  </si>
  <si>
    <t>сч 3030</t>
  </si>
  <si>
    <t>сч 3310, 3390, 3510</t>
  </si>
  <si>
    <t>сч 3430</t>
  </si>
  <si>
    <t>сч 3350</t>
  </si>
  <si>
    <t>сч 3100, 3200</t>
  </si>
  <si>
    <t>сч 4020</t>
  </si>
  <si>
    <t>сч 4160</t>
  </si>
  <si>
    <t>сч 4170</t>
  </si>
  <si>
    <t>сч 5000-сч 5100</t>
  </si>
  <si>
    <t>сч 5460</t>
  </si>
  <si>
    <t>убыток 2015г</t>
  </si>
  <si>
    <t>за период, заканчивающийся 31 декабря  2015 года</t>
  </si>
  <si>
    <t>сч 7410, 7420, 7470, 7430-6250+ свёрнутая суммовая разница отриц</t>
  </si>
  <si>
    <t>сч 7500</t>
  </si>
  <si>
    <t>за период, заканчивающийся 31 декабря 2015 года</t>
  </si>
  <si>
    <t>за период , заканчивающийся 31 декабря  2015 года</t>
  </si>
  <si>
    <t xml:space="preserve">перечисление в ликвидфонд с 1030 на 1050 </t>
  </si>
  <si>
    <t>9203 содер соцсферы</t>
  </si>
  <si>
    <t>сч 1270</t>
  </si>
  <si>
    <t>сч 3397 страховая выплата</t>
  </si>
  <si>
    <t>сч 1251 возврат п/о+сч 1254+3397 реш суда</t>
  </si>
  <si>
    <t>сч 3350 свёрн</t>
  </si>
  <si>
    <t>сч 3380</t>
  </si>
  <si>
    <t>сч 3310 страховки</t>
  </si>
  <si>
    <t>суточные, сч 1254, выплаты по сч 3210, 3220, 3395, 3396, 3397</t>
  </si>
  <si>
    <t>сч 3010</t>
  </si>
  <si>
    <t>свёрн курсовая и суммовая разница</t>
  </si>
  <si>
    <t>за минусом оплаты ОС и др ДА</t>
  </si>
  <si>
    <t>реализ Галантерея и Хайруллина</t>
  </si>
  <si>
    <t>равно сальдо ДС в балансе</t>
  </si>
  <si>
    <t>сч 1210 без реализации ОС</t>
  </si>
  <si>
    <t>сч 3510 без приобретения других ДА и ОС</t>
  </si>
  <si>
    <t>приобретение 2933 через кассу и расчётный счёт</t>
  </si>
  <si>
    <t>приобретение 2410 через кассу и расчётный счёт</t>
  </si>
  <si>
    <t>расчётная сумма</t>
  </si>
  <si>
    <t>сч 6280 (дох от м/лома+дох спис Кт задолж+дох от оприх ТМЗ+дох по сомн обяз+дох по страх выпл+дох по реш суда)</t>
  </si>
  <si>
    <t>сч 6140+сч 6210+сч 6280 дох от возм затрат и реал материалов+ сч 6280 доход от пересчёта КПН+дох от возврата н р/с Дт 1030 Кт 6280 сумма 4 791,19</t>
  </si>
  <si>
    <t xml:space="preserve">сч.7010-с/с возврата ГП </t>
  </si>
  <si>
    <t>сч 7310</t>
  </si>
  <si>
    <t>сч.6110+сч.6160+сч 6280 дох от переоценки валюты по вознаграждениям</t>
  </si>
  <si>
    <t>Сальдо на 31.12.2015(строка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</si>
</sst>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trike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/>
    <xf numFmtId="0" fontId="21" fillId="0" borderId="0" xfId="0" applyFont="1" applyAlignment="1">
      <alignment horizontal="left"/>
    </xf>
    <xf numFmtId="0" fontId="22" fillId="0" borderId="0" xfId="0" applyFont="1"/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49" fontId="21" fillId="0" borderId="14" xfId="0" applyNumberFormat="1" applyFont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49" fontId="20" fillId="0" borderId="14" xfId="0" applyNumberFormat="1" applyFont="1" applyBorder="1" applyAlignment="1">
      <alignment horizontal="center" vertical="top" wrapText="1"/>
    </xf>
    <xf numFmtId="3" fontId="20" fillId="0" borderId="15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3" fontId="20" fillId="0" borderId="18" xfId="0" applyNumberFormat="1" applyFont="1" applyBorder="1" applyAlignment="1">
      <alignment horizontal="right" vertical="top" wrapText="1"/>
    </xf>
    <xf numFmtId="0" fontId="21" fillId="0" borderId="0" xfId="0" applyFont="1"/>
    <xf numFmtId="0" fontId="20" fillId="0" borderId="0" xfId="0" applyFont="1"/>
    <xf numFmtId="0" fontId="24" fillId="0" borderId="0" xfId="0" applyFont="1" applyAlignment="1"/>
    <xf numFmtId="0" fontId="26" fillId="0" borderId="0" xfId="0" applyFont="1"/>
    <xf numFmtId="4" fontId="26" fillId="0" borderId="0" xfId="0" applyNumberFormat="1" applyFont="1"/>
    <xf numFmtId="0" fontId="27" fillId="0" borderId="0" xfId="0" applyFont="1"/>
    <xf numFmtId="0" fontId="24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3" xfId="0" applyFont="1" applyBorder="1" applyAlignment="1">
      <alignment vertical="top" wrapText="1"/>
    </xf>
    <xf numFmtId="49" fontId="28" fillId="0" borderId="14" xfId="0" applyNumberFormat="1" applyFont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right" vertical="top" wrapText="1"/>
    </xf>
    <xf numFmtId="0" fontId="30" fillId="0" borderId="13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top" wrapText="1"/>
    </xf>
    <xf numFmtId="3" fontId="30" fillId="0" borderId="14" xfId="0" applyNumberFormat="1" applyFont="1" applyBorder="1" applyAlignment="1">
      <alignment horizontal="right" vertical="top" wrapText="1"/>
    </xf>
    <xf numFmtId="0" fontId="31" fillId="0" borderId="0" xfId="0" applyFont="1"/>
    <xf numFmtId="3" fontId="28" fillId="0" borderId="14" xfId="0" applyNumberFormat="1" applyFont="1" applyFill="1" applyBorder="1" applyAlignment="1">
      <alignment horizontal="right" vertical="top" wrapText="1"/>
    </xf>
    <xf numFmtId="0" fontId="30" fillId="0" borderId="14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3" fontId="0" fillId="0" borderId="0" xfId="0" applyNumberFormat="1"/>
    <xf numFmtId="0" fontId="28" fillId="0" borderId="16" xfId="0" applyFont="1" applyBorder="1" applyAlignment="1">
      <alignment vertical="top" wrapText="1"/>
    </xf>
    <xf numFmtId="0" fontId="28" fillId="0" borderId="17" xfId="0" applyFont="1" applyBorder="1" applyAlignment="1">
      <alignment horizontal="center" vertical="top" wrapText="1"/>
    </xf>
    <xf numFmtId="3" fontId="28" fillId="0" borderId="17" xfId="0" applyNumberFormat="1" applyFont="1" applyBorder="1" applyAlignment="1">
      <alignment horizontal="right" vertical="top" wrapText="1"/>
    </xf>
    <xf numFmtId="0" fontId="28" fillId="0" borderId="0" xfId="0" applyFont="1"/>
    <xf numFmtId="0" fontId="28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8" fillId="0" borderId="17" xfId="0" applyNumberFormat="1" applyFont="1" applyBorder="1" applyAlignment="1">
      <alignment horizontal="center" vertical="top" wrapText="1"/>
    </xf>
    <xf numFmtId="0" fontId="28" fillId="0" borderId="0" xfId="0" applyFont="1" applyBorder="1"/>
    <xf numFmtId="0" fontId="0" fillId="0" borderId="0" xfId="0" applyBorder="1"/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center" vertical="top" wrapText="1"/>
    </xf>
    <xf numFmtId="0" fontId="1" fillId="0" borderId="0" xfId="0" applyFont="1"/>
    <xf numFmtId="0" fontId="30" fillId="0" borderId="16" xfId="0" applyFont="1" applyBorder="1" applyAlignment="1">
      <alignment vertical="top" wrapText="1"/>
    </xf>
    <xf numFmtId="0" fontId="30" fillId="0" borderId="17" xfId="0" applyFont="1" applyBorder="1" applyAlignment="1">
      <alignment horizontal="center" vertical="top" wrapText="1"/>
    </xf>
    <xf numFmtId="3" fontId="30" fillId="0" borderId="17" xfId="0" applyNumberFormat="1" applyFont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/>
    <xf numFmtId="0" fontId="25" fillId="0" borderId="0" xfId="0" applyFont="1" applyBorder="1" applyAlignment="1"/>
    <xf numFmtId="3" fontId="22" fillId="0" borderId="0" xfId="0" applyNumberFormat="1" applyFont="1"/>
    <xf numFmtId="3" fontId="21" fillId="24" borderId="14" xfId="0" applyNumberFormat="1" applyFont="1" applyFill="1" applyBorder="1" applyAlignment="1">
      <alignment horizontal="right" vertical="top" wrapText="1"/>
    </xf>
    <xf numFmtId="3" fontId="28" fillId="24" borderId="14" xfId="0" applyNumberFormat="1" applyFont="1" applyFill="1" applyBorder="1" applyAlignment="1">
      <alignment horizontal="right" vertical="top" wrapText="1"/>
    </xf>
    <xf numFmtId="3" fontId="20" fillId="24" borderId="14" xfId="0" applyNumberFormat="1" applyFont="1" applyFill="1" applyBorder="1" applyAlignment="1">
      <alignment horizontal="right" vertical="top" wrapText="1"/>
    </xf>
    <xf numFmtId="3" fontId="20" fillId="24" borderId="14" xfId="0" applyNumberFormat="1" applyFont="1" applyFill="1" applyBorder="1" applyAlignment="1">
      <alignment horizontal="right" wrapText="1"/>
    </xf>
    <xf numFmtId="0" fontId="21" fillId="24" borderId="14" xfId="0" applyFont="1" applyFill="1" applyBorder="1" applyAlignment="1">
      <alignment horizontal="center" vertical="top" wrapText="1"/>
    </xf>
    <xf numFmtId="3" fontId="20" fillId="24" borderId="14" xfId="0" applyNumberFormat="1" applyFont="1" applyFill="1" applyBorder="1" applyAlignment="1">
      <alignment horizontal="center" vertical="top" wrapText="1"/>
    </xf>
    <xf numFmtId="3" fontId="20" fillId="24" borderId="17" xfId="0" applyNumberFormat="1" applyFont="1" applyFill="1" applyBorder="1" applyAlignment="1">
      <alignment horizontal="right" vertical="top" wrapText="1"/>
    </xf>
    <xf numFmtId="3" fontId="28" fillId="24" borderId="14" xfId="0" applyNumberFormat="1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3" fontId="21" fillId="0" borderId="15" xfId="0" applyNumberFormat="1" applyFont="1" applyBorder="1" applyAlignment="1">
      <alignment horizontal="right" vertical="top" wrapText="1"/>
    </xf>
    <xf numFmtId="3" fontId="20" fillId="0" borderId="15" xfId="0" applyNumberFormat="1" applyFont="1" applyBorder="1" applyAlignment="1">
      <alignment horizontal="right" wrapText="1"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30" fillId="0" borderId="15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horizontal="right" vertical="top" wrapText="1"/>
    </xf>
    <xf numFmtId="3" fontId="28" fillId="0" borderId="15" xfId="0" applyNumberFormat="1" applyFont="1" applyFill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3" fontId="22" fillId="25" borderId="0" xfId="0" applyNumberFormat="1" applyFont="1" applyFill="1"/>
    <xf numFmtId="0" fontId="30" fillId="0" borderId="13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15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3" fontId="30" fillId="0" borderId="18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right"/>
    </xf>
    <xf numFmtId="3" fontId="0" fillId="25" borderId="0" xfId="0" applyNumberFormat="1" applyFill="1"/>
    <xf numFmtId="3" fontId="28" fillId="0" borderId="18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28" fillId="0" borderId="0" xfId="0" applyFont="1" applyFill="1" applyAlignment="1">
      <alignment horizontal="right"/>
    </xf>
    <xf numFmtId="0" fontId="21" fillId="0" borderId="11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vertical="top" wrapText="1"/>
    </xf>
    <xf numFmtId="3" fontId="30" fillId="0" borderId="14" xfId="0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4" fillId="0" borderId="0" xfId="0" applyFont="1" applyFill="1" applyAlignment="1"/>
    <xf numFmtId="4" fontId="26" fillId="0" borderId="0" xfId="0" applyNumberFormat="1" applyFont="1" applyFill="1"/>
    <xf numFmtId="0" fontId="24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3" fontId="3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/>
    <xf numFmtId="3" fontId="27" fillId="0" borderId="0" xfId="0" applyNumberFormat="1" applyFont="1" applyFill="1" applyAlignment="1">
      <alignment horizontal="right"/>
    </xf>
    <xf numFmtId="0" fontId="30" fillId="0" borderId="13" xfId="0" applyFont="1" applyBorder="1" applyAlignment="1">
      <alignment vertical="top"/>
    </xf>
    <xf numFmtId="0" fontId="28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3" fontId="0" fillId="0" borderId="0" xfId="0" applyNumberFormat="1" applyFill="1"/>
    <xf numFmtId="3" fontId="0" fillId="0" borderId="0" xfId="0" applyNumberFormat="1" applyFont="1"/>
    <xf numFmtId="3" fontId="28" fillId="0" borderId="17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/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="96" zoomScaleNormal="96" zoomScaleSheetLayoutView="96" workbookViewId="0">
      <selection activeCell="D4" sqref="D4"/>
    </sheetView>
  </sheetViews>
  <sheetFormatPr defaultColWidth="9.28515625" defaultRowHeight="12" x14ac:dyDescent="0.2"/>
  <cols>
    <col min="1" max="1" width="48.85546875" style="2" customWidth="1"/>
    <col min="2" max="2" width="6.42578125" style="2" bestFit="1" customWidth="1"/>
    <col min="3" max="3" width="15.140625" style="2" customWidth="1"/>
    <col min="4" max="4" width="14.85546875" style="2" customWidth="1"/>
    <col min="5" max="5" width="9.28515625" style="2" hidden="1" customWidth="1"/>
    <col min="6" max="6" width="26.7109375" style="2" hidden="1" customWidth="1"/>
    <col min="7" max="7" width="23.28515625" style="2" hidden="1" customWidth="1"/>
    <col min="8" max="16384" width="9.28515625" style="2"/>
  </cols>
  <sheetData>
    <row r="1" spans="1:4" ht="12.75" x14ac:dyDescent="0.2">
      <c r="D1" s="100" t="s">
        <v>263</v>
      </c>
    </row>
    <row r="2" spans="1:4" ht="12.75" x14ac:dyDescent="0.2">
      <c r="D2" s="100" t="s">
        <v>264</v>
      </c>
    </row>
    <row r="3" spans="1:4" ht="12.75" x14ac:dyDescent="0.2">
      <c r="D3" s="101" t="s">
        <v>265</v>
      </c>
    </row>
    <row r="4" spans="1:4" ht="12.75" x14ac:dyDescent="0.2">
      <c r="D4" s="101" t="s">
        <v>266</v>
      </c>
    </row>
    <row r="6" spans="1:4" ht="11.25" customHeight="1" x14ac:dyDescent="0.2">
      <c r="A6" s="115" t="s">
        <v>76</v>
      </c>
      <c r="B6" s="115"/>
      <c r="C6" s="115"/>
      <c r="D6" s="115"/>
    </row>
    <row r="7" spans="1:4" ht="11.25" customHeight="1" x14ac:dyDescent="0.2">
      <c r="A7" s="115" t="s">
        <v>0</v>
      </c>
      <c r="B7" s="115"/>
      <c r="C7" s="115"/>
      <c r="D7" s="115"/>
    </row>
    <row r="8" spans="1:4" ht="28.5" customHeight="1" x14ac:dyDescent="0.2">
      <c r="A8" s="115" t="s">
        <v>77</v>
      </c>
      <c r="B8" s="115"/>
      <c r="C8" s="115"/>
      <c r="D8" s="115"/>
    </row>
    <row r="9" spans="1:4" x14ac:dyDescent="0.2">
      <c r="A9" s="115" t="s">
        <v>1</v>
      </c>
      <c r="B9" s="115"/>
      <c r="C9" s="115"/>
      <c r="D9" s="115"/>
    </row>
    <row r="10" spans="1:4" x14ac:dyDescent="0.2">
      <c r="A10" s="115" t="s">
        <v>267</v>
      </c>
      <c r="B10" s="115"/>
      <c r="C10" s="115"/>
      <c r="D10" s="115"/>
    </row>
    <row r="11" spans="1:4" ht="12.75" x14ac:dyDescent="0.2">
      <c r="A11" s="113" t="s">
        <v>2</v>
      </c>
      <c r="B11" s="116"/>
      <c r="C11" s="116"/>
      <c r="D11" s="116"/>
    </row>
    <row r="12" spans="1:4" ht="12.75" x14ac:dyDescent="0.2">
      <c r="A12" s="1" t="s">
        <v>269</v>
      </c>
      <c r="B12" s="110" t="s">
        <v>270</v>
      </c>
      <c r="C12" s="110"/>
      <c r="D12" s="110"/>
    </row>
    <row r="13" spans="1:4" x14ac:dyDescent="0.2">
      <c r="A13" s="112" t="s">
        <v>268</v>
      </c>
      <c r="B13" s="112"/>
      <c r="C13" s="112"/>
      <c r="D13" s="112"/>
    </row>
    <row r="14" spans="1:4" x14ac:dyDescent="0.2">
      <c r="A14" s="115" t="s">
        <v>255</v>
      </c>
      <c r="B14" s="115"/>
      <c r="C14" s="115"/>
      <c r="D14" s="115"/>
    </row>
    <row r="15" spans="1:4" x14ac:dyDescent="0.2">
      <c r="A15" s="113" t="s">
        <v>3</v>
      </c>
      <c r="B15" s="113"/>
      <c r="C15" s="113"/>
      <c r="D15" s="113"/>
    </row>
    <row r="16" spans="1:4" ht="24.75" customHeight="1" x14ac:dyDescent="0.2">
      <c r="A16" s="114" t="s">
        <v>271</v>
      </c>
      <c r="B16" s="114"/>
      <c r="C16" s="114"/>
      <c r="D16" s="114"/>
    </row>
    <row r="17" spans="1:7" x14ac:dyDescent="0.2">
      <c r="A17" s="3"/>
    </row>
    <row r="18" spans="1:7" x14ac:dyDescent="0.2">
      <c r="A18" s="3" t="s">
        <v>4</v>
      </c>
    </row>
    <row r="19" spans="1:7" x14ac:dyDescent="0.2">
      <c r="A19" s="3" t="s">
        <v>272</v>
      </c>
    </row>
    <row r="20" spans="1:7" ht="12.75" thickBot="1" x14ac:dyDescent="0.25">
      <c r="A20" s="1"/>
      <c r="D20" s="99" t="s">
        <v>254</v>
      </c>
    </row>
    <row r="21" spans="1:7" ht="24" x14ac:dyDescent="0.2">
      <c r="A21" s="4" t="s">
        <v>5</v>
      </c>
      <c r="B21" s="5" t="s">
        <v>6</v>
      </c>
      <c r="C21" s="5" t="s">
        <v>7</v>
      </c>
      <c r="D21" s="6" t="s">
        <v>8</v>
      </c>
    </row>
    <row r="22" spans="1:7" x14ac:dyDescent="0.2">
      <c r="A22" s="7" t="s">
        <v>9</v>
      </c>
      <c r="B22" s="8"/>
      <c r="C22" s="9"/>
      <c r="D22" s="72"/>
    </row>
    <row r="23" spans="1:7" x14ac:dyDescent="0.2">
      <c r="A23" s="10" t="s">
        <v>10</v>
      </c>
      <c r="B23" s="11" t="s">
        <v>11</v>
      </c>
      <c r="C23" s="64">
        <v>54785</v>
      </c>
      <c r="D23" s="64">
        <f>325+6710+100</f>
        <v>7135</v>
      </c>
      <c r="E23" s="2" t="s">
        <v>280</v>
      </c>
      <c r="G23" s="63">
        <f>417352.13+54068001.13+300000</f>
        <v>54785353.260000005</v>
      </c>
    </row>
    <row r="24" spans="1:7" x14ac:dyDescent="0.2">
      <c r="A24" s="10" t="s">
        <v>12</v>
      </c>
      <c r="B24" s="11" t="s">
        <v>13</v>
      </c>
      <c r="C24" s="64"/>
      <c r="D24" s="64"/>
      <c r="G24" s="63"/>
    </row>
    <row r="25" spans="1:7" x14ac:dyDescent="0.2">
      <c r="A25" s="10" t="s">
        <v>14</v>
      </c>
      <c r="B25" s="11" t="s">
        <v>15</v>
      </c>
      <c r="C25" s="64"/>
      <c r="D25" s="64"/>
      <c r="G25" s="63"/>
    </row>
    <row r="26" spans="1:7" ht="24" x14ac:dyDescent="0.2">
      <c r="A26" s="10" t="s">
        <v>16</v>
      </c>
      <c r="B26" s="11" t="s">
        <v>17</v>
      </c>
      <c r="C26" s="64"/>
      <c r="D26" s="64"/>
      <c r="G26" s="63"/>
    </row>
    <row r="27" spans="1:7" x14ac:dyDescent="0.2">
      <c r="A27" s="10" t="s">
        <v>18</v>
      </c>
      <c r="B27" s="11" t="s">
        <v>19</v>
      </c>
      <c r="C27" s="64"/>
      <c r="D27" s="64"/>
      <c r="G27" s="63"/>
    </row>
    <row r="28" spans="1:7" x14ac:dyDescent="0.2">
      <c r="A28" s="10" t="s">
        <v>20</v>
      </c>
      <c r="B28" s="11" t="s">
        <v>21</v>
      </c>
      <c r="C28" s="64"/>
      <c r="D28" s="64"/>
      <c r="G28" s="63"/>
    </row>
    <row r="29" spans="1:7" x14ac:dyDescent="0.2">
      <c r="A29" s="10" t="s">
        <v>22</v>
      </c>
      <c r="B29" s="11" t="s">
        <v>23</v>
      </c>
      <c r="C29" s="64">
        <v>125005</v>
      </c>
      <c r="D29" s="64">
        <f>126010+226422</f>
        <v>352432</v>
      </c>
      <c r="E29" s="2" t="s">
        <v>281</v>
      </c>
      <c r="G29" s="63">
        <f>74938437.11+50066522.62</f>
        <v>125004959.72999999</v>
      </c>
    </row>
    <row r="30" spans="1:7" x14ac:dyDescent="0.2">
      <c r="A30" s="10" t="s">
        <v>24</v>
      </c>
      <c r="B30" s="11" t="s">
        <v>25</v>
      </c>
      <c r="C30" s="64">
        <v>24684</v>
      </c>
      <c r="D30" s="64">
        <f>8909+155</f>
        <v>9064</v>
      </c>
      <c r="E30" s="2" t="s">
        <v>282</v>
      </c>
      <c r="G30" s="63">
        <f>24292868.71+391503.98</f>
        <v>24684372.690000001</v>
      </c>
    </row>
    <row r="31" spans="1:7" x14ac:dyDescent="0.2">
      <c r="A31" s="10" t="s">
        <v>26</v>
      </c>
      <c r="B31" s="11" t="s">
        <v>27</v>
      </c>
      <c r="C31" s="64">
        <v>431041</v>
      </c>
      <c r="D31" s="64">
        <v>466319</v>
      </c>
      <c r="E31" s="2" t="s">
        <v>283</v>
      </c>
      <c r="G31" s="63">
        <v>431040692</v>
      </c>
    </row>
    <row r="32" spans="1:7" x14ac:dyDescent="0.2">
      <c r="A32" s="10" t="s">
        <v>28</v>
      </c>
      <c r="B32" s="11" t="s">
        <v>29</v>
      </c>
      <c r="C32" s="64">
        <v>8542</v>
      </c>
      <c r="D32" s="64">
        <f>1+266+1382</f>
        <v>1649</v>
      </c>
      <c r="E32" s="2" t="s">
        <v>284</v>
      </c>
      <c r="G32" s="63">
        <f>225292.85+295824.49+8021485.99</f>
        <v>8542603.3300000001</v>
      </c>
    </row>
    <row r="33" spans="1:7" x14ac:dyDescent="0.2">
      <c r="A33" s="7" t="s">
        <v>30</v>
      </c>
      <c r="B33" s="13">
        <v>100</v>
      </c>
      <c r="C33" s="66">
        <f>SUM(C23:C32)</f>
        <v>644057</v>
      </c>
      <c r="D33" s="14">
        <f>SUM(D23:D32)</f>
        <v>836599</v>
      </c>
      <c r="G33" s="63"/>
    </row>
    <row r="34" spans="1:7" ht="24" x14ac:dyDescent="0.2">
      <c r="A34" s="7" t="s">
        <v>31</v>
      </c>
      <c r="B34" s="13">
        <v>101</v>
      </c>
      <c r="C34" s="67">
        <v>37985</v>
      </c>
      <c r="D34" s="74">
        <v>37985</v>
      </c>
      <c r="E34" s="2" t="s">
        <v>285</v>
      </c>
      <c r="G34" s="63"/>
    </row>
    <row r="35" spans="1:7" x14ac:dyDescent="0.2">
      <c r="A35" s="7" t="s">
        <v>32</v>
      </c>
      <c r="B35" s="13"/>
      <c r="C35" s="66"/>
      <c r="D35" s="14"/>
      <c r="G35" s="63"/>
    </row>
    <row r="36" spans="1:7" x14ac:dyDescent="0.2">
      <c r="A36" s="10" t="s">
        <v>12</v>
      </c>
      <c r="B36" s="11">
        <v>110</v>
      </c>
      <c r="C36" s="64"/>
      <c r="D36" s="73"/>
      <c r="G36" s="63"/>
    </row>
    <row r="37" spans="1:7" x14ac:dyDescent="0.2">
      <c r="A37" s="10" t="s">
        <v>14</v>
      </c>
      <c r="B37" s="11">
        <v>111</v>
      </c>
      <c r="C37" s="64"/>
      <c r="D37" s="73"/>
      <c r="G37" s="63"/>
    </row>
    <row r="38" spans="1:7" ht="24" x14ac:dyDescent="0.2">
      <c r="A38" s="10" t="s">
        <v>16</v>
      </c>
      <c r="B38" s="11">
        <v>112</v>
      </c>
      <c r="C38" s="64"/>
      <c r="D38" s="73"/>
      <c r="G38" s="63"/>
    </row>
    <row r="39" spans="1:7" x14ac:dyDescent="0.2">
      <c r="A39" s="10" t="s">
        <v>18</v>
      </c>
      <c r="B39" s="11">
        <v>113</v>
      </c>
      <c r="C39" s="64"/>
      <c r="D39" s="73"/>
      <c r="G39" s="63"/>
    </row>
    <row r="40" spans="1:7" x14ac:dyDescent="0.2">
      <c r="A40" s="10" t="s">
        <v>33</v>
      </c>
      <c r="B40" s="11">
        <v>114</v>
      </c>
      <c r="C40" s="64">
        <v>35403</v>
      </c>
      <c r="D40" s="64">
        <f>17488+16915</f>
        <v>34403</v>
      </c>
      <c r="E40" s="63" t="s">
        <v>286</v>
      </c>
      <c r="G40" s="63">
        <v>35402600</v>
      </c>
    </row>
    <row r="41" spans="1:7" x14ac:dyDescent="0.2">
      <c r="A41" s="10" t="s">
        <v>34</v>
      </c>
      <c r="B41" s="11">
        <v>115</v>
      </c>
      <c r="C41" s="64">
        <v>1750</v>
      </c>
      <c r="D41" s="64">
        <v>1411</v>
      </c>
      <c r="E41" s="2" t="s">
        <v>287</v>
      </c>
      <c r="G41" s="63">
        <v>1750149.44</v>
      </c>
    </row>
    <row r="42" spans="1:7" x14ac:dyDescent="0.2">
      <c r="A42" s="10" t="s">
        <v>35</v>
      </c>
      <c r="B42" s="11">
        <v>116</v>
      </c>
      <c r="C42" s="64"/>
      <c r="D42" s="64"/>
      <c r="G42" s="63"/>
    </row>
    <row r="43" spans="1:7" x14ac:dyDescent="0.2">
      <c r="A43" s="10" t="s">
        <v>36</v>
      </c>
      <c r="B43" s="11">
        <v>117</v>
      </c>
      <c r="C43" s="64">
        <v>327938</v>
      </c>
      <c r="D43" s="64">
        <v>360336</v>
      </c>
      <c r="E43" s="2" t="s">
        <v>288</v>
      </c>
      <c r="G43" s="63">
        <v>327937963.36000001</v>
      </c>
    </row>
    <row r="44" spans="1:7" x14ac:dyDescent="0.2">
      <c r="A44" s="10" t="s">
        <v>37</v>
      </c>
      <c r="B44" s="11">
        <v>118</v>
      </c>
      <c r="C44" s="64">
        <v>346269</v>
      </c>
      <c r="D44" s="64">
        <v>391586</v>
      </c>
      <c r="E44" s="2" t="s">
        <v>289</v>
      </c>
      <c r="G44" s="63">
        <v>346269267</v>
      </c>
    </row>
    <row r="45" spans="1:7" x14ac:dyDescent="0.2">
      <c r="A45" s="10" t="s">
        <v>38</v>
      </c>
      <c r="B45" s="11">
        <v>119</v>
      </c>
      <c r="C45" s="64"/>
      <c r="D45" s="64"/>
      <c r="G45" s="63"/>
    </row>
    <row r="46" spans="1:7" x14ac:dyDescent="0.2">
      <c r="A46" s="10" t="s">
        <v>39</v>
      </c>
      <c r="B46" s="11">
        <v>120</v>
      </c>
      <c r="C46" s="64"/>
      <c r="D46" s="64"/>
      <c r="G46" s="63"/>
    </row>
    <row r="47" spans="1:7" x14ac:dyDescent="0.2">
      <c r="A47" s="10" t="s">
        <v>40</v>
      </c>
      <c r="B47" s="11">
        <v>121</v>
      </c>
      <c r="C47" s="64">
        <v>460</v>
      </c>
      <c r="D47" s="64">
        <v>633</v>
      </c>
      <c r="E47" s="2" t="s">
        <v>290</v>
      </c>
      <c r="G47" s="63">
        <v>459640</v>
      </c>
    </row>
    <row r="48" spans="1:7" x14ac:dyDescent="0.2">
      <c r="A48" s="10" t="s">
        <v>41</v>
      </c>
      <c r="B48" s="11">
        <v>122</v>
      </c>
      <c r="C48" s="64">
        <v>1136</v>
      </c>
      <c r="D48" s="64"/>
      <c r="E48" s="2" t="s">
        <v>291</v>
      </c>
      <c r="G48" s="63">
        <v>1135767</v>
      </c>
    </row>
    <row r="49" spans="1:7" x14ac:dyDescent="0.2">
      <c r="A49" s="10" t="s">
        <v>42</v>
      </c>
      <c r="B49" s="11">
        <v>123</v>
      </c>
      <c r="C49" s="64">
        <v>39377</v>
      </c>
      <c r="D49" s="64">
        <v>39377</v>
      </c>
      <c r="E49" s="2" t="s">
        <v>292</v>
      </c>
      <c r="G49" s="63">
        <v>39377794.780000001</v>
      </c>
    </row>
    <row r="50" spans="1:7" x14ac:dyDescent="0.2">
      <c r="A50" s="7" t="s">
        <v>43</v>
      </c>
      <c r="B50" s="13">
        <v>200</v>
      </c>
      <c r="C50" s="66">
        <f>SUM(C36:C49)</f>
        <v>752333</v>
      </c>
      <c r="D50" s="14">
        <f>SUM(D36:D49)</f>
        <v>827746</v>
      </c>
      <c r="G50" s="63"/>
    </row>
    <row r="51" spans="1:7" x14ac:dyDescent="0.2">
      <c r="A51" s="7" t="s">
        <v>44</v>
      </c>
      <c r="B51" s="8"/>
      <c r="C51" s="66">
        <f>C33+C34+C50</f>
        <v>1434375</v>
      </c>
      <c r="D51" s="14">
        <f>D33+D34+D50</f>
        <v>1702330</v>
      </c>
      <c r="G51" s="63"/>
    </row>
    <row r="52" spans="1:7" ht="24" x14ac:dyDescent="0.2">
      <c r="A52" s="10" t="s">
        <v>45</v>
      </c>
      <c r="B52" s="15" t="s">
        <v>6</v>
      </c>
      <c r="C52" s="68" t="s">
        <v>7</v>
      </c>
      <c r="D52" s="16" t="s">
        <v>8</v>
      </c>
      <c r="G52" s="63"/>
    </row>
    <row r="53" spans="1:7" x14ac:dyDescent="0.2">
      <c r="A53" s="7" t="s">
        <v>46</v>
      </c>
      <c r="B53" s="8"/>
      <c r="C53" s="69"/>
      <c r="D53" s="14"/>
      <c r="G53" s="63"/>
    </row>
    <row r="54" spans="1:7" x14ac:dyDescent="0.2">
      <c r="A54" s="10" t="s">
        <v>47</v>
      </c>
      <c r="B54" s="15">
        <v>210</v>
      </c>
      <c r="C54" s="64"/>
      <c r="D54" s="64">
        <v>321430</v>
      </c>
      <c r="G54" s="63"/>
    </row>
    <row r="55" spans="1:7" x14ac:dyDescent="0.2">
      <c r="A55" s="10" t="s">
        <v>14</v>
      </c>
      <c r="B55" s="15">
        <v>211</v>
      </c>
      <c r="C55" s="64"/>
      <c r="D55" s="64"/>
      <c r="G55" s="63"/>
    </row>
    <row r="56" spans="1:7" x14ac:dyDescent="0.2">
      <c r="A56" s="10" t="s">
        <v>48</v>
      </c>
      <c r="B56" s="15">
        <v>212</v>
      </c>
      <c r="C56" s="12">
        <v>25615</v>
      </c>
      <c r="D56" s="12">
        <v>339</v>
      </c>
      <c r="E56" s="2" t="s">
        <v>293</v>
      </c>
      <c r="G56" s="63">
        <v>25615230</v>
      </c>
    </row>
    <row r="57" spans="1:7" ht="24" customHeight="1" x14ac:dyDescent="0.2">
      <c r="A57" s="10" t="s">
        <v>49</v>
      </c>
      <c r="B57" s="15">
        <v>213</v>
      </c>
      <c r="C57" s="64">
        <v>360524</v>
      </c>
      <c r="D57" s="64">
        <f>261400+458+653+31166</f>
        <v>293677</v>
      </c>
      <c r="E57" s="2" t="s">
        <v>294</v>
      </c>
      <c r="G57" s="63">
        <f>339721083.49+150478.55+20652552.65</f>
        <v>360524114.69</v>
      </c>
    </row>
    <row r="58" spans="1:7" x14ac:dyDescent="0.2">
      <c r="A58" s="10" t="s">
        <v>50</v>
      </c>
      <c r="B58" s="15">
        <v>214</v>
      </c>
      <c r="C58" s="64">
        <v>5303</v>
      </c>
      <c r="D58" s="64">
        <v>12576</v>
      </c>
      <c r="E58" s="2" t="s">
        <v>295</v>
      </c>
      <c r="G58" s="63">
        <v>5302764.34</v>
      </c>
    </row>
    <row r="59" spans="1:7" x14ac:dyDescent="0.2">
      <c r="A59" s="10" t="s">
        <v>51</v>
      </c>
      <c r="B59" s="15">
        <v>215</v>
      </c>
      <c r="C59" s="64"/>
      <c r="D59" s="64"/>
      <c r="G59" s="63"/>
    </row>
    <row r="60" spans="1:7" x14ac:dyDescent="0.2">
      <c r="A60" s="10" t="s">
        <v>52</v>
      </c>
      <c r="B60" s="15">
        <v>216</v>
      </c>
      <c r="C60" s="64">
        <v>17902</v>
      </c>
      <c r="D60" s="64">
        <v>39003</v>
      </c>
      <c r="E60" s="2" t="s">
        <v>296</v>
      </c>
      <c r="G60" s="63">
        <v>17901774.010000002</v>
      </c>
    </row>
    <row r="61" spans="1:7" x14ac:dyDescent="0.2">
      <c r="A61" s="10" t="s">
        <v>53</v>
      </c>
      <c r="B61" s="15">
        <v>217</v>
      </c>
      <c r="C61" s="64">
        <v>20959</v>
      </c>
      <c r="D61" s="64">
        <f>16170+7020</f>
        <v>23190</v>
      </c>
      <c r="E61" s="2" t="s">
        <v>297</v>
      </c>
      <c r="G61" s="63">
        <f>17642382.38+3316339.24</f>
        <v>20958721.619999997</v>
      </c>
    </row>
    <row r="62" spans="1:7" ht="24" x14ac:dyDescent="0.2">
      <c r="A62" s="7" t="s">
        <v>54</v>
      </c>
      <c r="B62" s="8">
        <v>300</v>
      </c>
      <c r="C62" s="66">
        <f>SUM(C54:C61)</f>
        <v>430303</v>
      </c>
      <c r="D62" s="14">
        <f>SUM(D54:D61)</f>
        <v>690215</v>
      </c>
      <c r="G62" s="63"/>
    </row>
    <row r="63" spans="1:7" ht="24" x14ac:dyDescent="0.2">
      <c r="A63" s="7" t="s">
        <v>55</v>
      </c>
      <c r="B63" s="8">
        <v>301</v>
      </c>
      <c r="C63" s="66"/>
      <c r="D63" s="14"/>
      <c r="G63" s="63"/>
    </row>
    <row r="64" spans="1:7" x14ac:dyDescent="0.2">
      <c r="A64" s="7" t="s">
        <v>56</v>
      </c>
      <c r="B64" s="8"/>
      <c r="C64" s="66"/>
      <c r="D64" s="14"/>
      <c r="G64" s="63"/>
    </row>
    <row r="65" spans="1:7" x14ac:dyDescent="0.2">
      <c r="A65" s="10" t="s">
        <v>47</v>
      </c>
      <c r="B65" s="15">
        <v>310</v>
      </c>
      <c r="C65" s="64">
        <v>188761</v>
      </c>
      <c r="D65" s="64">
        <v>112842</v>
      </c>
      <c r="E65" s="2" t="s">
        <v>298</v>
      </c>
      <c r="G65" s="63">
        <v>188761379.46000001</v>
      </c>
    </row>
    <row r="66" spans="1:7" x14ac:dyDescent="0.2">
      <c r="A66" s="10" t="s">
        <v>14</v>
      </c>
      <c r="B66" s="15">
        <v>311</v>
      </c>
      <c r="C66" s="64"/>
      <c r="D66" s="64"/>
      <c r="G66" s="63"/>
    </row>
    <row r="67" spans="1:7" x14ac:dyDescent="0.2">
      <c r="A67" s="10" t="s">
        <v>57</v>
      </c>
      <c r="B67" s="15">
        <v>312</v>
      </c>
      <c r="C67" s="64"/>
      <c r="D67" s="64"/>
      <c r="G67" s="63"/>
    </row>
    <row r="68" spans="1:7" x14ac:dyDescent="0.2">
      <c r="A68" s="10" t="s">
        <v>58</v>
      </c>
      <c r="B68" s="15">
        <v>313</v>
      </c>
      <c r="C68" s="64">
        <v>75850</v>
      </c>
      <c r="D68" s="64">
        <v>41712</v>
      </c>
      <c r="E68" s="2" t="s">
        <v>299</v>
      </c>
      <c r="G68" s="63">
        <v>75850052.030000001</v>
      </c>
    </row>
    <row r="69" spans="1:7" x14ac:dyDescent="0.2">
      <c r="A69" s="10" t="s">
        <v>59</v>
      </c>
      <c r="B69" s="15">
        <v>314</v>
      </c>
      <c r="C69" s="64">
        <v>24521</v>
      </c>
      <c r="D69" s="64">
        <v>22233</v>
      </c>
      <c r="E69" s="2" t="s">
        <v>300</v>
      </c>
      <c r="G69" s="63">
        <v>24521120.559999999</v>
      </c>
    </row>
    <row r="70" spans="1:7" x14ac:dyDescent="0.2">
      <c r="A70" s="10" t="s">
        <v>60</v>
      </c>
      <c r="B70" s="15">
        <v>315</v>
      </c>
      <c r="C70" s="12"/>
      <c r="D70" s="12">
        <v>7203</v>
      </c>
      <c r="G70" s="63"/>
    </row>
    <row r="71" spans="1:7" x14ac:dyDescent="0.2">
      <c r="A71" s="10" t="s">
        <v>61</v>
      </c>
      <c r="B71" s="15">
        <v>316</v>
      </c>
      <c r="C71" s="64"/>
      <c r="D71" s="73"/>
      <c r="G71" s="63"/>
    </row>
    <row r="72" spans="1:7" ht="24" x14ac:dyDescent="0.2">
      <c r="A72" s="7" t="s">
        <v>62</v>
      </c>
      <c r="B72" s="8">
        <v>400</v>
      </c>
      <c r="C72" s="66">
        <f>SUM(C65:C71)</f>
        <v>289132</v>
      </c>
      <c r="D72" s="14">
        <f>SUM(D65:D71)</f>
        <v>183990</v>
      </c>
      <c r="G72" s="63"/>
    </row>
    <row r="73" spans="1:7" x14ac:dyDescent="0.2">
      <c r="A73" s="7" t="s">
        <v>63</v>
      </c>
      <c r="B73" s="8"/>
      <c r="C73" s="66"/>
      <c r="D73" s="14"/>
      <c r="G73" s="63"/>
    </row>
    <row r="74" spans="1:7" x14ac:dyDescent="0.2">
      <c r="A74" s="10" t="s">
        <v>64</v>
      </c>
      <c r="B74" s="15">
        <v>410</v>
      </c>
      <c r="C74" s="64">
        <v>332977</v>
      </c>
      <c r="D74" s="64">
        <f>399900-66923</f>
        <v>332977</v>
      </c>
      <c r="E74" s="2" t="s">
        <v>301</v>
      </c>
      <c r="G74" s="63">
        <f>399900000-66923050</f>
        <v>332976950</v>
      </c>
    </row>
    <row r="75" spans="1:7" x14ac:dyDescent="0.2">
      <c r="A75" s="10" t="s">
        <v>65</v>
      </c>
      <c r="B75" s="15">
        <v>411</v>
      </c>
      <c r="C75" s="64"/>
      <c r="D75" s="64"/>
      <c r="G75" s="63"/>
    </row>
    <row r="76" spans="1:7" x14ac:dyDescent="0.2">
      <c r="A76" s="10" t="s">
        <v>66</v>
      </c>
      <c r="B76" s="15">
        <v>412</v>
      </c>
      <c r="C76" s="64"/>
      <c r="D76" s="64"/>
      <c r="G76" s="63"/>
    </row>
    <row r="77" spans="1:7" x14ac:dyDescent="0.2">
      <c r="A77" s="10" t="s">
        <v>67</v>
      </c>
      <c r="B77" s="15">
        <v>413</v>
      </c>
      <c r="C77" s="64">
        <v>7488</v>
      </c>
      <c r="D77" s="64">
        <v>7488</v>
      </c>
      <c r="E77" s="2" t="s">
        <v>302</v>
      </c>
      <c r="F77" s="63"/>
      <c r="G77" s="63">
        <v>7488356.5499999998</v>
      </c>
    </row>
    <row r="78" spans="1:7" x14ac:dyDescent="0.2">
      <c r="A78" s="10" t="s">
        <v>68</v>
      </c>
      <c r="B78" s="15">
        <v>414</v>
      </c>
      <c r="C78" s="64">
        <v>374475</v>
      </c>
      <c r="D78" s="64">
        <v>487660</v>
      </c>
      <c r="E78" s="81">
        <f>C78-D78</f>
        <v>-113185</v>
      </c>
      <c r="F78" s="63" t="s">
        <v>303</v>
      </c>
      <c r="G78" s="63">
        <v>374475256.57999998</v>
      </c>
    </row>
    <row r="79" spans="1:7" ht="24" x14ac:dyDescent="0.2">
      <c r="A79" s="10" t="s">
        <v>69</v>
      </c>
      <c r="B79" s="15">
        <v>420</v>
      </c>
      <c r="C79" s="64">
        <f>SUM(C74:C78)</f>
        <v>714940</v>
      </c>
      <c r="D79" s="73">
        <f>SUM(D74:D78)</f>
        <v>828125</v>
      </c>
      <c r="G79" s="63"/>
    </row>
    <row r="80" spans="1:7" x14ac:dyDescent="0.2">
      <c r="A80" s="10" t="s">
        <v>70</v>
      </c>
      <c r="B80" s="15">
        <v>421</v>
      </c>
      <c r="C80" s="64"/>
      <c r="D80" s="73"/>
      <c r="G80" s="63"/>
    </row>
    <row r="81" spans="1:7" x14ac:dyDescent="0.2">
      <c r="A81" s="7" t="s">
        <v>71</v>
      </c>
      <c r="B81" s="8">
        <v>500</v>
      </c>
      <c r="C81" s="66">
        <f>C79+C80</f>
        <v>714940</v>
      </c>
      <c r="D81" s="14">
        <f>D79+D80</f>
        <v>828125</v>
      </c>
      <c r="G81" s="63"/>
    </row>
    <row r="82" spans="1:7" ht="12.75" thickBot="1" x14ac:dyDescent="0.25">
      <c r="A82" s="17" t="s">
        <v>72</v>
      </c>
      <c r="B82" s="18"/>
      <c r="C82" s="70">
        <f>C62+C63+C72+C81</f>
        <v>1434375</v>
      </c>
      <c r="D82" s="20">
        <f>D62+D63+D72+D81</f>
        <v>1702330</v>
      </c>
      <c r="G82" s="63"/>
    </row>
    <row r="83" spans="1:7" ht="26.25" customHeight="1" x14ac:dyDescent="0.2">
      <c r="A83" s="111"/>
      <c r="B83" s="111"/>
      <c r="C83" s="111"/>
      <c r="D83" s="111"/>
      <c r="G83" s="63"/>
    </row>
    <row r="84" spans="1:7" x14ac:dyDescent="0.2">
      <c r="A84" s="21"/>
      <c r="G84" s="63"/>
    </row>
    <row r="85" spans="1:7" x14ac:dyDescent="0.2">
      <c r="A85" s="22" t="s">
        <v>260</v>
      </c>
      <c r="G85" s="63"/>
    </row>
    <row r="86" spans="1:7" x14ac:dyDescent="0.2">
      <c r="A86" s="21" t="s">
        <v>73</v>
      </c>
    </row>
    <row r="87" spans="1:7" ht="22.5" customHeight="1" x14ac:dyDescent="0.2">
      <c r="A87" s="22" t="s">
        <v>261</v>
      </c>
    </row>
    <row r="88" spans="1:7" x14ac:dyDescent="0.2">
      <c r="A88" s="21"/>
    </row>
    <row r="89" spans="1:7" ht="12" customHeight="1" x14ac:dyDescent="0.2">
      <c r="A89" s="24"/>
      <c r="B89" s="24"/>
      <c r="C89" s="25"/>
      <c r="D89" s="25"/>
    </row>
    <row r="90" spans="1:7" ht="12" customHeight="1" x14ac:dyDescent="0.2">
      <c r="A90" s="26"/>
    </row>
    <row r="91" spans="1:7" x14ac:dyDescent="0.2">
      <c r="A91" s="27"/>
    </row>
    <row r="93" spans="1:7" x14ac:dyDescent="0.2">
      <c r="A93" s="21"/>
    </row>
  </sheetData>
  <mergeCells count="12">
    <mergeCell ref="A10:D10"/>
    <mergeCell ref="A11:D11"/>
    <mergeCell ref="A6:D6"/>
    <mergeCell ref="A7:D7"/>
    <mergeCell ref="A8:D8"/>
    <mergeCell ref="A9:D9"/>
    <mergeCell ref="B12:D12"/>
    <mergeCell ref="A83:D83"/>
    <mergeCell ref="A13:D13"/>
    <mergeCell ref="A15:D15"/>
    <mergeCell ref="A16:D16"/>
    <mergeCell ref="A14:D14"/>
  </mergeCells>
  <phoneticPr fontId="19" type="noConversion"/>
  <pageMargins left="0.78740157480314965" right="0.78740157480314965" top="0.76" bottom="0.59055118110236227" header="0.51181102362204722" footer="0.51181102362204722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6"/>
  <sheetViews>
    <sheetView zoomScaleNormal="100" zoomScaleSheetLayoutView="91" workbookViewId="0">
      <selection activeCell="P12" sqref="P12"/>
    </sheetView>
  </sheetViews>
  <sheetFormatPr defaultColWidth="9.28515625" defaultRowHeight="12.75" x14ac:dyDescent="0.2"/>
  <cols>
    <col min="1" max="1" width="55.7109375" customWidth="1"/>
    <col min="2" max="2" width="8" customWidth="1"/>
    <col min="3" max="3" width="12.7109375" customWidth="1"/>
    <col min="4" max="4" width="13.85546875" customWidth="1"/>
    <col min="5" max="11" width="0" hidden="1" customWidth="1"/>
    <col min="12" max="12" width="11.140625" hidden="1" customWidth="1"/>
    <col min="13" max="13" width="15.140625" hidden="1" customWidth="1"/>
    <col min="14" max="14" width="0" hidden="1" customWidth="1"/>
  </cols>
  <sheetData>
    <row r="1" spans="1:13" x14ac:dyDescent="0.2">
      <c r="D1" s="100" t="s">
        <v>273</v>
      </c>
    </row>
    <row r="2" spans="1:13" x14ac:dyDescent="0.2">
      <c r="D2" s="100" t="s">
        <v>264</v>
      </c>
    </row>
    <row r="3" spans="1:13" x14ac:dyDescent="0.2">
      <c r="D3" s="101" t="s">
        <v>265</v>
      </c>
    </row>
    <row r="4" spans="1:13" ht="11.25" customHeight="1" x14ac:dyDescent="0.2">
      <c r="D4" s="101" t="s">
        <v>274</v>
      </c>
    </row>
    <row r="5" spans="1:13" ht="10.5" customHeight="1" x14ac:dyDescent="0.2"/>
    <row r="6" spans="1:13" x14ac:dyDescent="0.2">
      <c r="A6" s="119" t="s">
        <v>130</v>
      </c>
      <c r="B6" s="119"/>
      <c r="C6" s="119"/>
      <c r="D6" s="119"/>
    </row>
    <row r="7" spans="1:13" ht="10.5" customHeight="1" x14ac:dyDescent="0.2">
      <c r="A7" s="19"/>
      <c r="B7" s="19"/>
    </row>
    <row r="8" spans="1:13" x14ac:dyDescent="0.2">
      <c r="A8" s="117" t="s">
        <v>78</v>
      </c>
      <c r="B8" s="117"/>
      <c r="C8" s="117"/>
      <c r="D8" s="117"/>
    </row>
    <row r="9" spans="1:13" x14ac:dyDescent="0.2">
      <c r="A9" s="118" t="s">
        <v>304</v>
      </c>
      <c r="B9" s="118"/>
      <c r="C9" s="118"/>
      <c r="D9" s="118"/>
    </row>
    <row r="10" spans="1:13" ht="13.5" thickBot="1" x14ac:dyDescent="0.25">
      <c r="D10" s="88" t="s">
        <v>79</v>
      </c>
    </row>
    <row r="11" spans="1:13" s="2" customFormat="1" ht="24" x14ac:dyDescent="0.2">
      <c r="A11" s="4" t="s">
        <v>80</v>
      </c>
      <c r="B11" s="5" t="s">
        <v>6</v>
      </c>
      <c r="C11" s="5" t="s">
        <v>81</v>
      </c>
      <c r="D11" s="6" t="s">
        <v>82</v>
      </c>
    </row>
    <row r="12" spans="1:13" x14ac:dyDescent="0.2">
      <c r="A12" s="30" t="s">
        <v>83</v>
      </c>
      <c r="B12" s="31" t="s">
        <v>11</v>
      </c>
      <c r="C12" s="65">
        <v>1936506</v>
      </c>
      <c r="D12" s="65">
        <f>2628582-196</f>
        <v>2628386</v>
      </c>
      <c r="E12" t="s">
        <v>256</v>
      </c>
      <c r="M12" s="40">
        <f>1936544178.12-38250</f>
        <v>1936505928.1199999</v>
      </c>
    </row>
    <row r="13" spans="1:13" x14ac:dyDescent="0.2">
      <c r="A13" s="30" t="s">
        <v>84</v>
      </c>
      <c r="B13" s="31" t="s">
        <v>13</v>
      </c>
      <c r="C13" s="65">
        <v>1176276</v>
      </c>
      <c r="D13" s="65">
        <f>1652629-108</f>
        <v>1652521</v>
      </c>
      <c r="E13" t="s">
        <v>330</v>
      </c>
      <c r="M13" s="40">
        <f>1176293873.71-18223.44</f>
        <v>1176275650.27</v>
      </c>
    </row>
    <row r="14" spans="1:13" s="36" customFormat="1" x14ac:dyDescent="0.2">
      <c r="A14" s="33" t="s">
        <v>85</v>
      </c>
      <c r="B14" s="34" t="s">
        <v>15</v>
      </c>
      <c r="C14" s="35">
        <f>C12-C13</f>
        <v>760230</v>
      </c>
      <c r="D14" s="77">
        <f>D12-D13</f>
        <v>975865</v>
      </c>
      <c r="M14" s="40"/>
    </row>
    <row r="15" spans="1:13" x14ac:dyDescent="0.2">
      <c r="A15" s="30" t="s">
        <v>86</v>
      </c>
      <c r="B15" s="31" t="s">
        <v>17</v>
      </c>
      <c r="C15" s="65">
        <v>539462</v>
      </c>
      <c r="D15" s="65">
        <v>691998</v>
      </c>
      <c r="E15" t="s">
        <v>257</v>
      </c>
      <c r="M15" s="40">
        <v>539461683.82000005</v>
      </c>
    </row>
    <row r="16" spans="1:13" x14ac:dyDescent="0.2">
      <c r="A16" s="30" t="s">
        <v>87</v>
      </c>
      <c r="B16" s="31" t="s">
        <v>19</v>
      </c>
      <c r="C16" s="65">
        <v>136304</v>
      </c>
      <c r="D16" s="65">
        <v>139190</v>
      </c>
      <c r="E16" t="s">
        <v>258</v>
      </c>
      <c r="M16" s="40">
        <v>136304304.56</v>
      </c>
    </row>
    <row r="17" spans="1:13" x14ac:dyDescent="0.2">
      <c r="A17" s="30" t="s">
        <v>88</v>
      </c>
      <c r="B17" s="31" t="s">
        <v>21</v>
      </c>
      <c r="C17" s="37">
        <v>162440</v>
      </c>
      <c r="D17" s="37">
        <f>1+4023+13703+2974</f>
        <v>20701</v>
      </c>
      <c r="E17" t="s">
        <v>305</v>
      </c>
      <c r="I17" s="40"/>
      <c r="M17" s="40">
        <f>850925.18+32421087.26+7278650.79-24506.72+146178689.48-24206254.28</f>
        <v>162498591.71000001</v>
      </c>
    </row>
    <row r="18" spans="1:13" x14ac:dyDescent="0.2">
      <c r="A18" s="30" t="s">
        <v>89</v>
      </c>
      <c r="B18" s="31" t="s">
        <v>23</v>
      </c>
      <c r="C18" s="37">
        <v>21279</v>
      </c>
      <c r="D18" s="37">
        <f>2269+8+12671</f>
        <v>14948</v>
      </c>
      <c r="E18" t="s">
        <v>329</v>
      </c>
      <c r="I18" s="40"/>
      <c r="M18" s="40">
        <f>23474.05+148214.32+2098411.33+9241649.39+1482883+8338509+4791.19</f>
        <v>21337932.280000001</v>
      </c>
    </row>
    <row r="19" spans="1:13" s="36" customFormat="1" x14ac:dyDescent="0.2">
      <c r="A19" s="33" t="s">
        <v>90</v>
      </c>
      <c r="B19" s="34" t="s">
        <v>91</v>
      </c>
      <c r="C19" s="95">
        <f>C14-C15-C16-C17+C18</f>
        <v>-56697</v>
      </c>
      <c r="D19" s="77">
        <f>D14-D15-D16-D17+D18</f>
        <v>138924</v>
      </c>
      <c r="M19" s="40"/>
    </row>
    <row r="20" spans="1:13" x14ac:dyDescent="0.2">
      <c r="A20" s="30" t="s">
        <v>92</v>
      </c>
      <c r="B20" s="31" t="s">
        <v>93</v>
      </c>
      <c r="C20" s="37">
        <v>3322</v>
      </c>
      <c r="D20" s="37">
        <f>1198+423</f>
        <v>1621</v>
      </c>
      <c r="E20" t="s">
        <v>332</v>
      </c>
      <c r="M20" s="40">
        <f>2069527.37+1252208.26+4312222.56</f>
        <v>7633958.1899999995</v>
      </c>
    </row>
    <row r="21" spans="1:13" x14ac:dyDescent="0.2">
      <c r="A21" s="30" t="s">
        <v>94</v>
      </c>
      <c r="B21" s="31" t="s">
        <v>95</v>
      </c>
      <c r="C21" s="37">
        <v>34138</v>
      </c>
      <c r="D21" s="37">
        <f>3916+567+2322</f>
        <v>6805</v>
      </c>
      <c r="E21" t="s">
        <v>331</v>
      </c>
      <c r="I21" s="40"/>
      <c r="M21" s="40">
        <f>38450029.57</f>
        <v>38450029.57</v>
      </c>
    </row>
    <row r="22" spans="1:13" ht="38.25" x14ac:dyDescent="0.2">
      <c r="A22" s="30" t="s">
        <v>96</v>
      </c>
      <c r="B22" s="31" t="s">
        <v>97</v>
      </c>
      <c r="C22" s="32"/>
      <c r="D22" s="32"/>
      <c r="M22" s="40"/>
    </row>
    <row r="23" spans="1:13" ht="16.5" customHeight="1" x14ac:dyDescent="0.2">
      <c r="A23" s="30" t="s">
        <v>98</v>
      </c>
      <c r="B23" s="31" t="s">
        <v>99</v>
      </c>
      <c r="C23" s="37">
        <v>6874</v>
      </c>
      <c r="D23" s="37">
        <f>1577+243+217+14+48</f>
        <v>2099</v>
      </c>
      <c r="E23" s="120" t="s">
        <v>328</v>
      </c>
      <c r="F23" s="121"/>
      <c r="G23" s="121"/>
      <c r="H23" s="121"/>
      <c r="I23" s="121"/>
      <c r="J23" s="121"/>
      <c r="K23" s="121"/>
      <c r="L23" s="121"/>
      <c r="M23" s="40">
        <f>965946+1043715.43+37942.65+1348000+3415738+62284.04</f>
        <v>6873626.1200000001</v>
      </c>
    </row>
    <row r="24" spans="1:13" x14ac:dyDescent="0.2">
      <c r="A24" s="30" t="s">
        <v>100</v>
      </c>
      <c r="B24" s="31" t="s">
        <v>101</v>
      </c>
      <c r="C24" s="32"/>
      <c r="D24" s="78"/>
      <c r="M24" s="40"/>
    </row>
    <row r="25" spans="1:13" s="36" customFormat="1" x14ac:dyDescent="0.2">
      <c r="A25" s="33" t="s">
        <v>102</v>
      </c>
      <c r="B25" s="38">
        <v>100</v>
      </c>
      <c r="C25" s="35">
        <f>C19+C20-C21+C22+C23-C24</f>
        <v>-80639</v>
      </c>
      <c r="D25" s="77">
        <f>D19+D20-D21+D22+D23-D24</f>
        <v>135839</v>
      </c>
      <c r="M25" s="40"/>
    </row>
    <row r="26" spans="1:13" x14ac:dyDescent="0.2">
      <c r="A26" s="30" t="s">
        <v>103</v>
      </c>
      <c r="B26" s="39">
        <v>101</v>
      </c>
      <c r="C26" s="32"/>
      <c r="D26" s="32">
        <v>27163</v>
      </c>
      <c r="M26" s="40">
        <v>8338509</v>
      </c>
    </row>
    <row r="27" spans="1:13" ht="25.5" x14ac:dyDescent="0.2">
      <c r="A27" s="30" t="s">
        <v>104</v>
      </c>
      <c r="B27" s="39">
        <v>200</v>
      </c>
      <c r="C27" s="32">
        <f>C25-C26</f>
        <v>-80639</v>
      </c>
      <c r="D27" s="78">
        <f>D25-D26</f>
        <v>108676</v>
      </c>
      <c r="M27" s="40"/>
    </row>
    <row r="28" spans="1:13" ht="25.5" x14ac:dyDescent="0.2">
      <c r="A28" s="30" t="s">
        <v>105</v>
      </c>
      <c r="B28" s="39">
        <v>201</v>
      </c>
      <c r="C28" s="65">
        <v>-1561</v>
      </c>
      <c r="D28" s="65">
        <v>-1620</v>
      </c>
      <c r="E28" t="s">
        <v>306</v>
      </c>
      <c r="M28" s="40">
        <v>1560783.71</v>
      </c>
    </row>
    <row r="29" spans="1:13" s="36" customFormat="1" x14ac:dyDescent="0.2">
      <c r="A29" s="33" t="s">
        <v>106</v>
      </c>
      <c r="B29" s="38">
        <v>300</v>
      </c>
      <c r="C29" s="35">
        <f>C27+C28</f>
        <v>-82200</v>
      </c>
      <c r="D29" s="77">
        <f>D27+D28</f>
        <v>107056</v>
      </c>
      <c r="M29" s="40"/>
    </row>
    <row r="30" spans="1:13" x14ac:dyDescent="0.2">
      <c r="A30" s="30" t="s">
        <v>107</v>
      </c>
      <c r="B30" s="39"/>
      <c r="C30" s="32"/>
      <c r="D30" s="78"/>
      <c r="M30" s="40"/>
    </row>
    <row r="31" spans="1:13" x14ac:dyDescent="0.2">
      <c r="A31" s="30" t="s">
        <v>108</v>
      </c>
      <c r="B31" s="39"/>
      <c r="C31" s="32"/>
      <c r="D31" s="78"/>
      <c r="M31" s="40"/>
    </row>
    <row r="32" spans="1:13" x14ac:dyDescent="0.2">
      <c r="A32" s="33" t="s">
        <v>109</v>
      </c>
      <c r="B32" s="38">
        <v>400</v>
      </c>
      <c r="C32" s="35">
        <f>C34+C35+C36+C37+C38+C39+C40+C41+C42+C43+C44</f>
        <v>0</v>
      </c>
      <c r="D32" s="77">
        <f>D34+D35+D36+D37+D38+D39+D40+D41+D42+D43+D44</f>
        <v>37222</v>
      </c>
      <c r="M32" s="40"/>
    </row>
    <row r="33" spans="1:13" x14ac:dyDescent="0.2">
      <c r="A33" s="30" t="s">
        <v>110</v>
      </c>
      <c r="B33" s="39"/>
      <c r="C33" s="32"/>
      <c r="D33" s="78"/>
      <c r="M33" s="40"/>
    </row>
    <row r="34" spans="1:13" x14ac:dyDescent="0.2">
      <c r="A34" s="30" t="s">
        <v>111</v>
      </c>
      <c r="B34" s="39">
        <v>410</v>
      </c>
      <c r="C34" s="32"/>
      <c r="D34" s="32">
        <v>37222</v>
      </c>
      <c r="E34" t="s">
        <v>259</v>
      </c>
      <c r="M34" s="40"/>
    </row>
    <row r="35" spans="1:13" ht="25.5" x14ac:dyDescent="0.2">
      <c r="A35" s="30" t="s">
        <v>112</v>
      </c>
      <c r="B35" s="39">
        <v>411</v>
      </c>
      <c r="C35" s="32"/>
      <c r="D35" s="78"/>
      <c r="M35" s="40"/>
    </row>
    <row r="36" spans="1:13" ht="38.25" x14ac:dyDescent="0.2">
      <c r="A36" s="30" t="s">
        <v>113</v>
      </c>
      <c r="B36" s="39">
        <v>412</v>
      </c>
      <c r="C36" s="32"/>
      <c r="D36" s="78"/>
      <c r="M36" s="40"/>
    </row>
    <row r="37" spans="1:13" x14ac:dyDescent="0.2">
      <c r="A37" s="30" t="s">
        <v>114</v>
      </c>
      <c r="B37" s="39">
        <v>413</v>
      </c>
      <c r="C37" s="32"/>
      <c r="D37" s="78"/>
      <c r="M37" s="40"/>
    </row>
    <row r="38" spans="1:13" ht="25.5" x14ac:dyDescent="0.2">
      <c r="A38" s="30" t="s">
        <v>115</v>
      </c>
      <c r="B38" s="39">
        <v>414</v>
      </c>
      <c r="C38" s="32"/>
      <c r="D38" s="78"/>
      <c r="M38" s="40"/>
    </row>
    <row r="39" spans="1:13" x14ac:dyDescent="0.2">
      <c r="A39" s="30" t="s">
        <v>116</v>
      </c>
      <c r="B39" s="39">
        <v>415</v>
      </c>
      <c r="C39" s="32"/>
      <c r="D39" s="78"/>
      <c r="M39" s="40"/>
    </row>
    <row r="40" spans="1:13" x14ac:dyDescent="0.2">
      <c r="A40" s="30" t="s">
        <v>117</v>
      </c>
      <c r="B40" s="39">
        <v>416</v>
      </c>
      <c r="C40" s="32"/>
      <c r="D40" s="78"/>
      <c r="M40" s="40"/>
    </row>
    <row r="41" spans="1:13" x14ac:dyDescent="0.2">
      <c r="A41" s="30" t="s">
        <v>118</v>
      </c>
      <c r="B41" s="39">
        <v>417</v>
      </c>
      <c r="C41" s="32"/>
      <c r="D41" s="78"/>
      <c r="M41" s="40"/>
    </row>
    <row r="42" spans="1:13" x14ac:dyDescent="0.2">
      <c r="A42" s="30" t="s">
        <v>119</v>
      </c>
      <c r="B42" s="39">
        <v>418</v>
      </c>
      <c r="C42" s="32"/>
      <c r="D42" s="78"/>
      <c r="M42" s="40"/>
    </row>
    <row r="43" spans="1:13" x14ac:dyDescent="0.2">
      <c r="A43" s="30" t="s">
        <v>120</v>
      </c>
      <c r="B43" s="39">
        <v>419</v>
      </c>
      <c r="C43" s="32"/>
      <c r="D43" s="78"/>
      <c r="M43" s="40"/>
    </row>
    <row r="44" spans="1:13" x14ac:dyDescent="0.2">
      <c r="A44" s="30" t="s">
        <v>121</v>
      </c>
      <c r="B44" s="39">
        <v>420</v>
      </c>
      <c r="C44" s="32"/>
      <c r="D44" s="78"/>
      <c r="M44" s="40"/>
    </row>
    <row r="45" spans="1:13" s="36" customFormat="1" x14ac:dyDescent="0.2">
      <c r="A45" s="33" t="s">
        <v>122</v>
      </c>
      <c r="B45" s="38">
        <v>500</v>
      </c>
      <c r="C45" s="35">
        <f>C29+C32</f>
        <v>-82200</v>
      </c>
      <c r="D45" s="77">
        <f>D29+D32</f>
        <v>144278</v>
      </c>
      <c r="M45" s="40"/>
    </row>
    <row r="46" spans="1:13" x14ac:dyDescent="0.2">
      <c r="A46" s="30" t="s">
        <v>123</v>
      </c>
      <c r="B46" s="39"/>
      <c r="C46" s="32"/>
      <c r="D46" s="78"/>
      <c r="M46" s="40"/>
    </row>
    <row r="47" spans="1:13" x14ac:dyDescent="0.2">
      <c r="A47" s="30" t="s">
        <v>107</v>
      </c>
      <c r="B47" s="39"/>
      <c r="C47" s="32"/>
      <c r="D47" s="78"/>
      <c r="M47" s="40"/>
    </row>
    <row r="48" spans="1:13" x14ac:dyDescent="0.2">
      <c r="A48" s="30" t="s">
        <v>124</v>
      </c>
      <c r="B48" s="39"/>
      <c r="C48" s="32"/>
      <c r="D48" s="78"/>
      <c r="M48" s="40"/>
    </row>
    <row r="49" spans="1:13" x14ac:dyDescent="0.2">
      <c r="A49" s="30" t="s">
        <v>125</v>
      </c>
      <c r="B49" s="39">
        <v>600</v>
      </c>
      <c r="C49" s="32"/>
      <c r="D49" s="78"/>
      <c r="M49" s="40"/>
    </row>
    <row r="50" spans="1:13" x14ac:dyDescent="0.2">
      <c r="A50" s="30" t="s">
        <v>110</v>
      </c>
      <c r="B50" s="39"/>
      <c r="C50" s="32"/>
      <c r="D50" s="78"/>
      <c r="M50" s="40"/>
    </row>
    <row r="51" spans="1:13" x14ac:dyDescent="0.2">
      <c r="A51" s="30" t="s">
        <v>126</v>
      </c>
      <c r="B51" s="39"/>
      <c r="C51" s="32"/>
      <c r="D51" s="78"/>
      <c r="M51" s="40"/>
    </row>
    <row r="52" spans="1:13" x14ac:dyDescent="0.2">
      <c r="A52" s="30" t="s">
        <v>127</v>
      </c>
      <c r="B52" s="39"/>
      <c r="C52" s="32"/>
      <c r="D52" s="78"/>
      <c r="M52" s="40"/>
    </row>
    <row r="53" spans="1:13" x14ac:dyDescent="0.2">
      <c r="A53" s="30" t="s">
        <v>128</v>
      </c>
      <c r="B53" s="39"/>
      <c r="C53" s="32"/>
      <c r="D53" s="78"/>
      <c r="M53" s="40"/>
    </row>
    <row r="54" spans="1:13" x14ac:dyDescent="0.2">
      <c r="A54" s="30" t="s">
        <v>129</v>
      </c>
      <c r="B54" s="39"/>
      <c r="C54" s="32"/>
      <c r="D54" s="78"/>
      <c r="M54" s="40"/>
    </row>
    <row r="55" spans="1:13" x14ac:dyDescent="0.2">
      <c r="A55" s="30" t="s">
        <v>127</v>
      </c>
      <c r="B55" s="39"/>
      <c r="C55" s="32"/>
      <c r="D55" s="78"/>
      <c r="M55" s="40"/>
    </row>
    <row r="56" spans="1:13" ht="13.5" thickBot="1" x14ac:dyDescent="0.25">
      <c r="A56" s="41" t="s">
        <v>128</v>
      </c>
      <c r="B56" s="42"/>
      <c r="C56" s="43"/>
      <c r="D56" s="80"/>
      <c r="M56" s="40"/>
    </row>
    <row r="57" spans="1:13" x14ac:dyDescent="0.2">
      <c r="A57" s="44"/>
      <c r="B57" s="44"/>
      <c r="M57" s="40"/>
    </row>
    <row r="58" spans="1:13" x14ac:dyDescent="0.2">
      <c r="A58" s="22" t="s">
        <v>260</v>
      </c>
      <c r="B58" s="22"/>
      <c r="C58" s="2"/>
      <c r="D58" s="2"/>
      <c r="M58" s="40"/>
    </row>
    <row r="59" spans="1:13" x14ac:dyDescent="0.2">
      <c r="A59" s="21" t="s">
        <v>73</v>
      </c>
      <c r="B59" s="21"/>
      <c r="C59" s="2"/>
      <c r="D59" s="2"/>
      <c r="M59" s="40"/>
    </row>
    <row r="60" spans="1:13" x14ac:dyDescent="0.2">
      <c r="A60" s="22" t="s">
        <v>262</v>
      </c>
      <c r="B60" s="22"/>
      <c r="C60" s="2"/>
      <c r="D60" s="2"/>
      <c r="M60" s="40"/>
    </row>
    <row r="61" spans="1:13" x14ac:dyDescent="0.2">
      <c r="A61" s="21" t="s">
        <v>74</v>
      </c>
      <c r="B61" s="21"/>
      <c r="C61" s="2"/>
      <c r="D61" s="2"/>
      <c r="M61" s="40"/>
    </row>
    <row r="62" spans="1:13" x14ac:dyDescent="0.2">
      <c r="A62" s="21"/>
      <c r="B62" s="21"/>
      <c r="C62" s="2"/>
      <c r="D62" s="2"/>
      <c r="M62" s="40"/>
    </row>
    <row r="63" spans="1:13" x14ac:dyDescent="0.2">
      <c r="A63" s="24"/>
      <c r="B63" s="24"/>
      <c r="C63" s="25"/>
      <c r="D63" s="25"/>
    </row>
    <row r="64" spans="1:13" x14ac:dyDescent="0.2">
      <c r="A64" s="27"/>
      <c r="B64" s="27"/>
    </row>
    <row r="65" spans="1:2" x14ac:dyDescent="0.2">
      <c r="A65" s="2"/>
      <c r="B65" s="2"/>
    </row>
    <row r="66" spans="1:2" x14ac:dyDescent="0.2">
      <c r="A66" s="21"/>
      <c r="B66" s="21"/>
    </row>
  </sheetData>
  <mergeCells count="4">
    <mergeCell ref="A8:D8"/>
    <mergeCell ref="A9:D9"/>
    <mergeCell ref="A6:D6"/>
    <mergeCell ref="E23:L23"/>
  </mergeCells>
  <phoneticPr fontId="19" type="noConversion"/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1"/>
  <sheetViews>
    <sheetView topLeftCell="A16" zoomScaleNormal="100" zoomScaleSheetLayoutView="99" workbookViewId="0">
      <selection activeCell="D86" sqref="D86"/>
    </sheetView>
  </sheetViews>
  <sheetFormatPr defaultRowHeight="12.75" x14ac:dyDescent="0.2"/>
  <cols>
    <col min="1" max="1" width="49.28515625" customWidth="1"/>
    <col min="2" max="2" width="6.42578125" bestFit="1" customWidth="1"/>
    <col min="3" max="3" width="13.7109375" style="91" customWidth="1"/>
    <col min="4" max="4" width="13.85546875" customWidth="1"/>
    <col min="5" max="5" width="12.5703125" hidden="1" customWidth="1"/>
    <col min="6" max="6" width="0" hidden="1" customWidth="1"/>
    <col min="7" max="7" width="11.140625" hidden="1" customWidth="1"/>
    <col min="8" max="8" width="24.5703125" hidden="1" customWidth="1"/>
    <col min="9" max="9" width="17.85546875" hidden="1" customWidth="1"/>
    <col min="11" max="11" width="15.140625" customWidth="1"/>
    <col min="15" max="15" width="13.5703125" customWidth="1"/>
  </cols>
  <sheetData>
    <row r="1" spans="1:9" x14ac:dyDescent="0.2">
      <c r="D1" s="100" t="s">
        <v>275</v>
      </c>
      <c r="E1" s="100"/>
    </row>
    <row r="2" spans="1:9" x14ac:dyDescent="0.2">
      <c r="C2" s="100"/>
      <c r="D2" s="100" t="s">
        <v>264</v>
      </c>
    </row>
    <row r="3" spans="1:9" x14ac:dyDescent="0.2">
      <c r="C3" s="101"/>
      <c r="D3" s="101" t="s">
        <v>265</v>
      </c>
    </row>
    <row r="4" spans="1:9" x14ac:dyDescent="0.2">
      <c r="C4" s="100"/>
      <c r="D4" s="100" t="s">
        <v>276</v>
      </c>
    </row>
    <row r="6" spans="1:9" x14ac:dyDescent="0.2">
      <c r="D6" s="28"/>
    </row>
    <row r="7" spans="1:9" x14ac:dyDescent="0.2">
      <c r="A7" s="119" t="s">
        <v>130</v>
      </c>
      <c r="B7" s="119"/>
      <c r="C7" s="119"/>
      <c r="D7" s="119"/>
    </row>
    <row r="8" spans="1:9" x14ac:dyDescent="0.2">
      <c r="A8" s="19"/>
      <c r="D8" s="28"/>
    </row>
    <row r="9" spans="1:9" x14ac:dyDescent="0.2">
      <c r="A9" s="117" t="s">
        <v>131</v>
      </c>
      <c r="B9" s="117"/>
      <c r="C9" s="117"/>
      <c r="D9" s="117"/>
    </row>
    <row r="10" spans="1:9" x14ac:dyDescent="0.2">
      <c r="A10" s="19"/>
    </row>
    <row r="11" spans="1:9" x14ac:dyDescent="0.2">
      <c r="A11" s="118" t="s">
        <v>308</v>
      </c>
      <c r="B11" s="118"/>
      <c r="C11" s="118"/>
      <c r="D11" s="118"/>
    </row>
    <row r="12" spans="1:9" x14ac:dyDescent="0.2">
      <c r="A12" s="45"/>
    </row>
    <row r="13" spans="1:9" ht="13.5" thickBot="1" x14ac:dyDescent="0.25">
      <c r="A13" s="28"/>
      <c r="B13" s="28"/>
      <c r="C13" s="92"/>
      <c r="D13" s="29" t="s">
        <v>79</v>
      </c>
    </row>
    <row r="14" spans="1:9" ht="40.5" customHeight="1" x14ac:dyDescent="0.2">
      <c r="A14" s="46" t="s">
        <v>80</v>
      </c>
      <c r="B14" s="47" t="s">
        <v>6</v>
      </c>
      <c r="C14" s="93" t="s">
        <v>81</v>
      </c>
      <c r="D14" s="6" t="s">
        <v>82</v>
      </c>
      <c r="I14" t="s">
        <v>327</v>
      </c>
    </row>
    <row r="15" spans="1:9" ht="25.5" customHeight="1" x14ac:dyDescent="0.2">
      <c r="A15" s="104" t="s">
        <v>132</v>
      </c>
      <c r="B15" s="75"/>
      <c r="C15" s="94"/>
      <c r="D15" s="76"/>
    </row>
    <row r="16" spans="1:9" s="36" customFormat="1" ht="25.5" x14ac:dyDescent="0.2">
      <c r="A16" s="33" t="s">
        <v>133</v>
      </c>
      <c r="B16" s="34" t="s">
        <v>11</v>
      </c>
      <c r="C16" s="95">
        <f>SUM(C18:C23)</f>
        <v>2131900</v>
      </c>
      <c r="D16" s="77">
        <f>SUM(D18:D23)</f>
        <v>2674912</v>
      </c>
    </row>
    <row r="17" spans="1:9" x14ac:dyDescent="0.2">
      <c r="A17" s="30" t="s">
        <v>110</v>
      </c>
      <c r="B17" s="39"/>
      <c r="C17" s="37"/>
      <c r="D17" s="78"/>
    </row>
    <row r="18" spans="1:9" x14ac:dyDescent="0.2">
      <c r="A18" s="30" t="s">
        <v>134</v>
      </c>
      <c r="B18" s="31" t="s">
        <v>13</v>
      </c>
      <c r="C18" s="37">
        <v>498708</v>
      </c>
      <c r="D18" s="37">
        <f>5196+689500</f>
        <v>694696</v>
      </c>
      <c r="E18" t="s">
        <v>323</v>
      </c>
      <c r="I18" s="40">
        <f>498874457.52-166000</f>
        <v>498708457.51999998</v>
      </c>
    </row>
    <row r="19" spans="1:9" x14ac:dyDescent="0.2">
      <c r="A19" s="30" t="s">
        <v>135</v>
      </c>
      <c r="B19" s="31" t="s">
        <v>15</v>
      </c>
      <c r="C19" s="37"/>
      <c r="D19" s="37"/>
    </row>
    <row r="20" spans="1:9" x14ac:dyDescent="0.2">
      <c r="A20" s="30" t="s">
        <v>136</v>
      </c>
      <c r="B20" s="31" t="s">
        <v>17</v>
      </c>
      <c r="C20" s="37">
        <v>1625214</v>
      </c>
      <c r="D20" s="37">
        <f>28835+1950666</f>
        <v>1979501</v>
      </c>
      <c r="E20" t="s">
        <v>324</v>
      </c>
      <c r="I20" s="40">
        <f>1636087675.78-10873835.25</f>
        <v>1625213840.53</v>
      </c>
    </row>
    <row r="21" spans="1:9" x14ac:dyDescent="0.2">
      <c r="A21" s="30" t="s">
        <v>137</v>
      </c>
      <c r="B21" s="31" t="s">
        <v>19</v>
      </c>
      <c r="C21" s="37">
        <v>1348</v>
      </c>
      <c r="D21" s="37"/>
      <c r="E21" t="s">
        <v>312</v>
      </c>
      <c r="I21" s="40">
        <v>1348000</v>
      </c>
    </row>
    <row r="22" spans="1:9" s="91" customFormat="1" x14ac:dyDescent="0.2">
      <c r="A22" s="105" t="s">
        <v>138</v>
      </c>
      <c r="B22" s="106" t="s">
        <v>21</v>
      </c>
      <c r="C22" s="37">
        <v>1341</v>
      </c>
      <c r="D22" s="37">
        <v>456</v>
      </c>
      <c r="E22" s="91" t="s">
        <v>311</v>
      </c>
      <c r="I22" s="40">
        <v>1341264.25</v>
      </c>
    </row>
    <row r="23" spans="1:9" x14ac:dyDescent="0.2">
      <c r="A23" s="30" t="s">
        <v>139</v>
      </c>
      <c r="B23" s="31" t="s">
        <v>23</v>
      </c>
      <c r="C23" s="37">
        <v>5289</v>
      </c>
      <c r="D23" s="37">
        <f>203+8+48</f>
        <v>259</v>
      </c>
      <c r="E23" s="91" t="s">
        <v>313</v>
      </c>
      <c r="I23" s="40">
        <f>1038000+835382+3415738</f>
        <v>5289120</v>
      </c>
    </row>
    <row r="24" spans="1:9" s="36" customFormat="1" ht="25.5" x14ac:dyDescent="0.2">
      <c r="A24" s="33" t="s">
        <v>140</v>
      </c>
      <c r="B24" s="34" t="s">
        <v>91</v>
      </c>
      <c r="C24" s="95">
        <f>SUM(C26:C32)</f>
        <v>1739641</v>
      </c>
      <c r="D24" s="77">
        <f>SUM(D26:D32)</f>
        <v>2716351</v>
      </c>
    </row>
    <row r="25" spans="1:9" x14ac:dyDescent="0.2">
      <c r="A25" s="30" t="s">
        <v>110</v>
      </c>
      <c r="B25" s="31"/>
      <c r="C25" s="37"/>
      <c r="D25" s="78"/>
    </row>
    <row r="26" spans="1:9" s="91" customFormat="1" x14ac:dyDescent="0.2">
      <c r="A26" s="105" t="s">
        <v>141</v>
      </c>
      <c r="B26" s="106" t="s">
        <v>93</v>
      </c>
      <c r="C26" s="37">
        <v>591860</v>
      </c>
      <c r="D26" s="37">
        <f>4056+16+1037+733836+5573+1640-3130-610-1885-4233</f>
        <v>736300</v>
      </c>
      <c r="E26" s="91" t="s">
        <v>320</v>
      </c>
      <c r="I26" s="107">
        <f>6559245.9+610545161.02-4003720+5780544.95+1783257.15-7797241-10271056-10735869</f>
        <v>591860323.01999998</v>
      </c>
    </row>
    <row r="27" spans="1:9" x14ac:dyDescent="0.2">
      <c r="A27" s="30" t="s">
        <v>142</v>
      </c>
      <c r="B27" s="31" t="s">
        <v>95</v>
      </c>
      <c r="C27" s="37">
        <v>719602</v>
      </c>
      <c r="D27" s="37">
        <f>1469709-4471-397-6722-2147</f>
        <v>1455972</v>
      </c>
      <c r="I27" s="40">
        <f>948808511.69-229206388.72</f>
        <v>719602122.97000003</v>
      </c>
    </row>
    <row r="28" spans="1:9" x14ac:dyDescent="0.2">
      <c r="A28" s="30" t="s">
        <v>143</v>
      </c>
      <c r="B28" s="31" t="s">
        <v>97</v>
      </c>
      <c r="C28" s="37">
        <v>213263</v>
      </c>
      <c r="D28" s="37">
        <f>4751+194226</f>
        <v>198977</v>
      </c>
      <c r="E28" t="s">
        <v>314</v>
      </c>
      <c r="I28" s="40">
        <f>213353853.53-91000</f>
        <v>213262853.53</v>
      </c>
    </row>
    <row r="29" spans="1:9" x14ac:dyDescent="0.2">
      <c r="A29" s="30" t="s">
        <v>144</v>
      </c>
      <c r="B29" s="31" t="s">
        <v>99</v>
      </c>
      <c r="C29" s="37">
        <v>441</v>
      </c>
      <c r="D29" s="37">
        <v>61344</v>
      </c>
      <c r="E29" t="s">
        <v>315</v>
      </c>
      <c r="I29" s="40">
        <v>441462.11</v>
      </c>
    </row>
    <row r="30" spans="1:9" x14ac:dyDescent="0.2">
      <c r="A30" s="30" t="s">
        <v>145</v>
      </c>
      <c r="B30" s="31" t="s">
        <v>101</v>
      </c>
      <c r="C30" s="37">
        <v>7797</v>
      </c>
      <c r="D30" s="37">
        <f>1625+445+305+610+30+13+26+76</f>
        <v>3130</v>
      </c>
      <c r="E30" t="s">
        <v>316</v>
      </c>
      <c r="I30">
        <v>7797241</v>
      </c>
    </row>
    <row r="31" spans="1:9" x14ac:dyDescent="0.2">
      <c r="A31" s="30" t="s">
        <v>146</v>
      </c>
      <c r="B31" s="31" t="s">
        <v>147</v>
      </c>
      <c r="C31" s="37">
        <v>157229</v>
      </c>
      <c r="D31" s="37">
        <f>31042+83734+10639+82759+132+56+2+11113</f>
        <v>219477</v>
      </c>
      <c r="E31" t="s">
        <v>310</v>
      </c>
      <c r="I31" s="40">
        <f>15383049+85639936+200544+46355459+269+201186+926+159640+84957+9203035</f>
        <v>157229001</v>
      </c>
    </row>
    <row r="32" spans="1:9" x14ac:dyDescent="0.2">
      <c r="A32" s="30" t="s">
        <v>148</v>
      </c>
      <c r="B32" s="31" t="s">
        <v>149</v>
      </c>
      <c r="C32" s="37">
        <v>49449</v>
      </c>
      <c r="D32" s="37">
        <f>670+900+63+73+234+9642+27596+96+1241+636</f>
        <v>41151</v>
      </c>
      <c r="E32" t="s">
        <v>317</v>
      </c>
      <c r="I32" s="108">
        <f>2524000+835382+9732838.54-5403.61+29655643.59-22479.35+2632117+211812+3885236</f>
        <v>49449146.169999994</v>
      </c>
    </row>
    <row r="33" spans="1:9" s="36" customFormat="1" ht="25.5" x14ac:dyDescent="0.2">
      <c r="A33" s="33" t="s">
        <v>150</v>
      </c>
      <c r="B33" s="34" t="s">
        <v>151</v>
      </c>
      <c r="C33" s="95">
        <f>C16-C24</f>
        <v>392259</v>
      </c>
      <c r="D33" s="77">
        <f>D16-D24</f>
        <v>-41439</v>
      </c>
    </row>
    <row r="34" spans="1:9" ht="24.75" customHeight="1" x14ac:dyDescent="0.2">
      <c r="A34" s="104" t="s">
        <v>152</v>
      </c>
      <c r="B34" s="75"/>
      <c r="C34" s="94"/>
      <c r="D34" s="76"/>
    </row>
    <row r="35" spans="1:9" s="36" customFormat="1" ht="25.5" x14ac:dyDescent="0.2">
      <c r="A35" s="33" t="s">
        <v>153</v>
      </c>
      <c r="B35" s="34" t="s">
        <v>154</v>
      </c>
      <c r="C35" s="95">
        <f>SUM(C37:C47)</f>
        <v>166</v>
      </c>
      <c r="D35" s="77">
        <f>SUM(D37:D47)</f>
        <v>0</v>
      </c>
    </row>
    <row r="36" spans="1:9" x14ac:dyDescent="0.2">
      <c r="A36" s="30" t="s">
        <v>110</v>
      </c>
      <c r="B36" s="31"/>
      <c r="C36" s="37"/>
      <c r="D36" s="78"/>
    </row>
    <row r="37" spans="1:9" x14ac:dyDescent="0.2">
      <c r="A37" s="30" t="s">
        <v>155</v>
      </c>
      <c r="B37" s="31" t="s">
        <v>156</v>
      </c>
      <c r="C37" s="37">
        <v>166</v>
      </c>
      <c r="D37" s="78"/>
      <c r="E37" t="s">
        <v>321</v>
      </c>
      <c r="I37" s="108">
        <f>66000+100000</f>
        <v>166000</v>
      </c>
    </row>
    <row r="38" spans="1:9" x14ac:dyDescent="0.2">
      <c r="A38" s="30" t="s">
        <v>157</v>
      </c>
      <c r="B38" s="31" t="s">
        <v>158</v>
      </c>
      <c r="C38" s="37"/>
      <c r="D38" s="78"/>
    </row>
    <row r="39" spans="1:9" x14ac:dyDescent="0.2">
      <c r="A39" s="30" t="s">
        <v>159</v>
      </c>
      <c r="B39" s="31" t="s">
        <v>160</v>
      </c>
      <c r="C39" s="37"/>
      <c r="D39" s="78"/>
    </row>
    <row r="40" spans="1:9" ht="38.25" x14ac:dyDescent="0.2">
      <c r="A40" s="30" t="s">
        <v>161</v>
      </c>
      <c r="B40" s="31" t="s">
        <v>162</v>
      </c>
      <c r="C40" s="37"/>
      <c r="D40" s="78"/>
    </row>
    <row r="41" spans="1:9" x14ac:dyDescent="0.2">
      <c r="A41" s="30" t="s">
        <v>163</v>
      </c>
      <c r="B41" s="31" t="s">
        <v>164</v>
      </c>
      <c r="C41" s="37"/>
      <c r="D41" s="78"/>
    </row>
    <row r="42" spans="1:9" ht="25.5" x14ac:dyDescent="0.2">
      <c r="A42" s="30" t="s">
        <v>165</v>
      </c>
      <c r="B42" s="31" t="s">
        <v>166</v>
      </c>
      <c r="C42" s="37"/>
      <c r="D42" s="78"/>
    </row>
    <row r="43" spans="1:9" x14ac:dyDescent="0.2">
      <c r="A43" s="30" t="s">
        <v>167</v>
      </c>
      <c r="B43" s="31" t="s">
        <v>168</v>
      </c>
      <c r="C43" s="37"/>
      <c r="D43" s="78"/>
    </row>
    <row r="44" spans="1:9" x14ac:dyDescent="0.2">
      <c r="A44" s="30" t="s">
        <v>169</v>
      </c>
      <c r="B44" s="31" t="s">
        <v>170</v>
      </c>
      <c r="C44" s="37"/>
      <c r="D44" s="78"/>
    </row>
    <row r="45" spans="1:9" x14ac:dyDescent="0.2">
      <c r="A45" s="30" t="s">
        <v>171</v>
      </c>
      <c r="B45" s="31" t="s">
        <v>172</v>
      </c>
      <c r="C45" s="37"/>
      <c r="D45" s="78"/>
    </row>
    <row r="46" spans="1:9" x14ac:dyDescent="0.2">
      <c r="A46" s="30" t="s">
        <v>138</v>
      </c>
      <c r="B46" s="31" t="s">
        <v>173</v>
      </c>
      <c r="C46" s="37"/>
      <c r="D46" s="78"/>
    </row>
    <row r="47" spans="1:9" x14ac:dyDescent="0.2">
      <c r="A47" s="30" t="s">
        <v>139</v>
      </c>
      <c r="B47" s="31" t="s">
        <v>174</v>
      </c>
      <c r="C47" s="37"/>
      <c r="D47" s="78"/>
    </row>
    <row r="48" spans="1:9" s="36" customFormat="1" ht="25.5" x14ac:dyDescent="0.2">
      <c r="A48" s="33" t="s">
        <v>175</v>
      </c>
      <c r="B48" s="34" t="s">
        <v>176</v>
      </c>
      <c r="C48" s="95">
        <f>SUM(C50:C60)</f>
        <v>22007</v>
      </c>
      <c r="D48" s="77">
        <f>SUM(D50:D60)</f>
        <v>24305</v>
      </c>
    </row>
    <row r="49" spans="1:9" x14ac:dyDescent="0.2">
      <c r="A49" s="30" t="s">
        <v>110</v>
      </c>
      <c r="B49" s="39"/>
      <c r="C49" s="37"/>
      <c r="D49" s="78"/>
    </row>
    <row r="50" spans="1:9" x14ac:dyDescent="0.2">
      <c r="A50" s="30" t="s">
        <v>177</v>
      </c>
      <c r="B50" s="31" t="s">
        <v>178</v>
      </c>
      <c r="C50" s="37">
        <v>10271</v>
      </c>
      <c r="D50" s="37">
        <v>5081</v>
      </c>
      <c r="E50" t="s">
        <v>326</v>
      </c>
      <c r="I50" s="40">
        <v>10271056</v>
      </c>
    </row>
    <row r="51" spans="1:9" x14ac:dyDescent="0.2">
      <c r="A51" s="30" t="s">
        <v>179</v>
      </c>
      <c r="B51" s="31" t="s">
        <v>180</v>
      </c>
      <c r="C51" s="37"/>
      <c r="D51" s="37">
        <v>397</v>
      </c>
    </row>
    <row r="52" spans="1:9" x14ac:dyDescent="0.2">
      <c r="A52" s="30" t="s">
        <v>181</v>
      </c>
      <c r="B52" s="31" t="s">
        <v>182</v>
      </c>
      <c r="C52" s="37">
        <v>10736</v>
      </c>
      <c r="D52" s="37">
        <f>8607+6380</f>
        <v>14987</v>
      </c>
      <c r="E52" t="s">
        <v>325</v>
      </c>
      <c r="I52" s="40">
        <f>39790+587968.64+526905.12+1981847.11+1956636.11+1981847.11+1691532.11+1024368+785800+78185+80990</f>
        <v>10735869.200000001</v>
      </c>
    </row>
    <row r="53" spans="1:9" ht="38.25" x14ac:dyDescent="0.2">
      <c r="A53" s="30" t="s">
        <v>183</v>
      </c>
      <c r="B53" s="31" t="s">
        <v>184</v>
      </c>
      <c r="C53" s="37"/>
      <c r="D53" s="37"/>
    </row>
    <row r="54" spans="1:9" x14ac:dyDescent="0.2">
      <c r="A54" s="30" t="s">
        <v>185</v>
      </c>
      <c r="B54" s="31" t="s">
        <v>186</v>
      </c>
      <c r="C54" s="37"/>
      <c r="D54" s="37"/>
    </row>
    <row r="55" spans="1:9" x14ac:dyDescent="0.2">
      <c r="A55" s="30" t="s">
        <v>187</v>
      </c>
      <c r="B55" s="31" t="s">
        <v>188</v>
      </c>
      <c r="C55" s="37"/>
      <c r="D55" s="37"/>
      <c r="I55" s="40"/>
    </row>
    <row r="56" spans="1:9" x14ac:dyDescent="0.2">
      <c r="A56" s="30" t="s">
        <v>189</v>
      </c>
      <c r="B56" s="31" t="s">
        <v>190</v>
      </c>
      <c r="C56" s="37">
        <v>1000</v>
      </c>
      <c r="D56" s="37">
        <v>3840</v>
      </c>
      <c r="E56" t="s">
        <v>309</v>
      </c>
      <c r="I56" s="40">
        <v>1000000</v>
      </c>
    </row>
    <row r="57" spans="1:9" x14ac:dyDescent="0.2">
      <c r="A57" s="30" t="s">
        <v>191</v>
      </c>
      <c r="B57" s="31" t="s">
        <v>192</v>
      </c>
      <c r="C57" s="37"/>
      <c r="D57" s="37"/>
    </row>
    <row r="58" spans="1:9" x14ac:dyDescent="0.2">
      <c r="A58" s="30" t="s">
        <v>169</v>
      </c>
      <c r="B58" s="31" t="s">
        <v>193</v>
      </c>
      <c r="C58" s="37"/>
      <c r="D58" s="37"/>
    </row>
    <row r="59" spans="1:9" x14ac:dyDescent="0.2">
      <c r="A59" s="30" t="s">
        <v>194</v>
      </c>
      <c r="B59" s="31" t="s">
        <v>195</v>
      </c>
      <c r="C59" s="37"/>
      <c r="D59" s="37"/>
    </row>
    <row r="60" spans="1:9" x14ac:dyDescent="0.2">
      <c r="A60" s="30" t="s">
        <v>148</v>
      </c>
      <c r="B60" s="31" t="s">
        <v>196</v>
      </c>
      <c r="C60" s="37"/>
      <c r="D60" s="37"/>
    </row>
    <row r="61" spans="1:9" s="36" customFormat="1" ht="25.5" x14ac:dyDescent="0.2">
      <c r="A61" s="33" t="s">
        <v>197</v>
      </c>
      <c r="B61" s="34" t="s">
        <v>198</v>
      </c>
      <c r="C61" s="95">
        <f>C35-C48</f>
        <v>-21841</v>
      </c>
      <c r="D61" s="77">
        <f>D35-D48</f>
        <v>-24305</v>
      </c>
    </row>
    <row r="62" spans="1:9" ht="20.25" customHeight="1" x14ac:dyDescent="0.2">
      <c r="A62" s="104" t="s">
        <v>199</v>
      </c>
      <c r="B62" s="75"/>
      <c r="C62" s="94"/>
      <c r="D62" s="76"/>
    </row>
    <row r="63" spans="1:9" s="36" customFormat="1" ht="25.5" x14ac:dyDescent="0.2">
      <c r="A63" s="33" t="s">
        <v>200</v>
      </c>
      <c r="B63" s="34" t="s">
        <v>201</v>
      </c>
      <c r="C63" s="95">
        <f>SUM(C65:C68)</f>
        <v>0</v>
      </c>
      <c r="D63" s="77">
        <f>SUM(D65:D68)</f>
        <v>0</v>
      </c>
    </row>
    <row r="64" spans="1:9" x14ac:dyDescent="0.2">
      <c r="A64" s="30" t="s">
        <v>110</v>
      </c>
      <c r="B64" s="31"/>
      <c r="C64" s="37"/>
      <c r="D64" s="78"/>
    </row>
    <row r="65" spans="1:9" x14ac:dyDescent="0.2">
      <c r="A65" s="30" t="s">
        <v>202</v>
      </c>
      <c r="B65" s="31" t="s">
        <v>203</v>
      </c>
      <c r="C65" s="37"/>
      <c r="D65" s="78"/>
    </row>
    <row r="66" spans="1:9" x14ac:dyDescent="0.2">
      <c r="A66" s="30" t="s">
        <v>204</v>
      </c>
      <c r="B66" s="31" t="s">
        <v>205</v>
      </c>
      <c r="C66" s="37"/>
      <c r="D66" s="78"/>
    </row>
    <row r="67" spans="1:9" x14ac:dyDescent="0.2">
      <c r="A67" s="30" t="s">
        <v>138</v>
      </c>
      <c r="B67" s="31" t="s">
        <v>206</v>
      </c>
      <c r="C67" s="37"/>
      <c r="D67" s="78"/>
    </row>
    <row r="68" spans="1:9" x14ac:dyDescent="0.2">
      <c r="A68" s="30" t="s">
        <v>139</v>
      </c>
      <c r="B68" s="31" t="s">
        <v>207</v>
      </c>
      <c r="C68" s="37"/>
      <c r="D68" s="78"/>
    </row>
    <row r="69" spans="1:9" s="36" customFormat="1" ht="25.5" x14ac:dyDescent="0.2">
      <c r="A69" s="33" t="s">
        <v>208</v>
      </c>
      <c r="B69" s="34">
        <v>100</v>
      </c>
      <c r="C69" s="95">
        <f>SUM(C71:C75)</f>
        <v>322647</v>
      </c>
      <c r="D69" s="77">
        <f>SUM(D71:D75)</f>
        <v>10662</v>
      </c>
    </row>
    <row r="70" spans="1:9" x14ac:dyDescent="0.2">
      <c r="A70" s="30" t="s">
        <v>110</v>
      </c>
      <c r="B70" s="31"/>
      <c r="C70" s="37"/>
      <c r="D70" s="78"/>
    </row>
    <row r="71" spans="1:9" x14ac:dyDescent="0.2">
      <c r="A71" s="30" t="s">
        <v>209</v>
      </c>
      <c r="B71" s="31">
        <v>101</v>
      </c>
      <c r="C71" s="37">
        <v>321430</v>
      </c>
      <c r="D71" s="37">
        <v>10656</v>
      </c>
      <c r="E71" t="s">
        <v>318</v>
      </c>
      <c r="I71" s="40">
        <v>321429919.44999999</v>
      </c>
    </row>
    <row r="72" spans="1:9" x14ac:dyDescent="0.2">
      <c r="A72" s="30" t="s">
        <v>144</v>
      </c>
      <c r="B72" s="31">
        <v>102</v>
      </c>
      <c r="C72" s="37"/>
      <c r="D72" s="37"/>
    </row>
    <row r="73" spans="1:9" x14ac:dyDescent="0.2">
      <c r="A73" s="30" t="s">
        <v>210</v>
      </c>
      <c r="B73" s="31">
        <v>103</v>
      </c>
      <c r="C73" s="37">
        <v>1217</v>
      </c>
      <c r="D73" s="37">
        <v>6</v>
      </c>
      <c r="E73" t="s">
        <v>293</v>
      </c>
      <c r="I73" s="40">
        <v>1216623</v>
      </c>
    </row>
    <row r="74" spans="1:9" x14ac:dyDescent="0.2">
      <c r="A74" s="30" t="s">
        <v>211</v>
      </c>
      <c r="B74" s="31">
        <v>104</v>
      </c>
      <c r="C74" s="37"/>
      <c r="D74" s="37"/>
    </row>
    <row r="75" spans="1:9" x14ac:dyDescent="0.2">
      <c r="A75" s="30" t="s">
        <v>212</v>
      </c>
      <c r="B75" s="31">
        <v>105</v>
      </c>
      <c r="C75" s="37"/>
      <c r="D75" s="37"/>
    </row>
    <row r="76" spans="1:9" s="36" customFormat="1" ht="25.5" x14ac:dyDescent="0.2">
      <c r="A76" s="33" t="s">
        <v>213</v>
      </c>
      <c r="B76" s="34">
        <v>110</v>
      </c>
      <c r="C76" s="95">
        <f>C63-C69</f>
        <v>-322647</v>
      </c>
      <c r="D76" s="77">
        <f>D63-D69</f>
        <v>-10662</v>
      </c>
    </row>
    <row r="77" spans="1:9" x14ac:dyDescent="0.2">
      <c r="A77" s="30" t="s">
        <v>214</v>
      </c>
      <c r="B77" s="31">
        <v>120</v>
      </c>
      <c r="C77" s="37">
        <v>-121</v>
      </c>
      <c r="D77" s="78">
        <v>-180</v>
      </c>
      <c r="E77" t="s">
        <v>319</v>
      </c>
      <c r="I77" s="40">
        <f>4759114.22+29297.91-1683400.98-3226337.06</f>
        <v>-121325.91000000015</v>
      </c>
    </row>
    <row r="78" spans="1:9" s="36" customFormat="1" ht="25.5" x14ac:dyDescent="0.2">
      <c r="A78" s="33" t="s">
        <v>279</v>
      </c>
      <c r="B78" s="34">
        <v>130</v>
      </c>
      <c r="C78" s="95">
        <f>C33+C61+C76+C77</f>
        <v>47650</v>
      </c>
      <c r="D78" s="77">
        <f>D33+D61+D76</f>
        <v>-76406</v>
      </c>
    </row>
    <row r="79" spans="1:9" ht="25.5" x14ac:dyDescent="0.2">
      <c r="A79" s="30" t="s">
        <v>215</v>
      </c>
      <c r="B79" s="31">
        <v>140</v>
      </c>
      <c r="C79" s="37">
        <f>D80</f>
        <v>7135</v>
      </c>
      <c r="D79" s="79">
        <v>83721</v>
      </c>
      <c r="E79" s="40"/>
      <c r="F79" s="40"/>
    </row>
    <row r="80" spans="1:9" ht="26.25" thickBot="1" x14ac:dyDescent="0.25">
      <c r="A80" s="41" t="s">
        <v>216</v>
      </c>
      <c r="B80" s="48">
        <v>150</v>
      </c>
      <c r="C80" s="109">
        <f>C79+C33+C61+C76+C77</f>
        <v>54785</v>
      </c>
      <c r="D80" s="90">
        <v>7135</v>
      </c>
      <c r="E80" s="40">
        <v>54785</v>
      </c>
      <c r="F80" s="89">
        <f>C80-E80</f>
        <v>0</v>
      </c>
      <c r="G80" t="s">
        <v>322</v>
      </c>
    </row>
    <row r="81" spans="1:4" ht="17.25" customHeight="1" x14ac:dyDescent="0.2">
      <c r="A81" s="111"/>
      <c r="B81" s="111"/>
      <c r="C81" s="111"/>
      <c r="D81" s="111"/>
    </row>
    <row r="82" spans="1:4" x14ac:dyDescent="0.2">
      <c r="A82" s="22" t="s">
        <v>260</v>
      </c>
      <c r="B82" s="2"/>
      <c r="C82" s="96"/>
      <c r="D82" s="2"/>
    </row>
    <row r="83" spans="1:4" x14ac:dyDescent="0.2">
      <c r="A83" s="21" t="s">
        <v>73</v>
      </c>
      <c r="B83" s="2"/>
      <c r="C83" s="96"/>
      <c r="D83" s="2"/>
    </row>
    <row r="84" spans="1:4" ht="20.25" customHeight="1" x14ac:dyDescent="0.2">
      <c r="A84" s="22" t="s">
        <v>262</v>
      </c>
      <c r="B84" s="2"/>
      <c r="C84" s="96"/>
      <c r="D84" s="2"/>
    </row>
    <row r="85" spans="1:4" x14ac:dyDescent="0.2">
      <c r="A85" s="21" t="s">
        <v>74</v>
      </c>
      <c r="B85" s="2"/>
      <c r="C85" s="96"/>
      <c r="D85" s="2"/>
    </row>
    <row r="86" spans="1:4" x14ac:dyDescent="0.2">
      <c r="A86" s="21"/>
      <c r="B86" s="2"/>
      <c r="C86" s="96"/>
      <c r="D86" s="2"/>
    </row>
    <row r="87" spans="1:4" x14ac:dyDescent="0.2">
      <c r="A87" s="23" t="s">
        <v>75</v>
      </c>
      <c r="B87" s="23"/>
      <c r="C87" s="97"/>
      <c r="D87" s="23"/>
    </row>
    <row r="88" spans="1:4" x14ac:dyDescent="0.2">
      <c r="A88" s="24"/>
      <c r="B88" s="24"/>
      <c r="C88" s="98"/>
      <c r="D88" s="25"/>
    </row>
    <row r="89" spans="1:4" x14ac:dyDescent="0.2">
      <c r="A89" s="27"/>
    </row>
    <row r="90" spans="1:4" x14ac:dyDescent="0.2">
      <c r="A90" s="2"/>
    </row>
    <row r="91" spans="1:4" x14ac:dyDescent="0.2">
      <c r="A91" s="21"/>
    </row>
  </sheetData>
  <mergeCells count="4">
    <mergeCell ref="A7:D7"/>
    <mergeCell ref="A9:D9"/>
    <mergeCell ref="A11:D11"/>
    <mergeCell ref="A81:D81"/>
  </mergeCells>
  <pageMargins left="0.78740157480314965" right="0.78740157480314965" top="0.59055118110236227" bottom="0.59055118110236227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zoomScaleNormal="100" zoomScaleSheetLayoutView="75" workbookViewId="0">
      <selection activeCell="A76" sqref="A76"/>
    </sheetView>
  </sheetViews>
  <sheetFormatPr defaultRowHeight="12.75" x14ac:dyDescent="0.2"/>
  <cols>
    <col min="1" max="1" width="41.140625" customWidth="1"/>
    <col min="2" max="2" width="7.42578125" customWidth="1"/>
    <col min="3" max="3" width="13.85546875" customWidth="1"/>
    <col min="4" max="4" width="7.85546875" customWidth="1"/>
    <col min="5" max="5" width="8.7109375" customWidth="1"/>
    <col min="6" max="6" width="12.85546875" customWidth="1"/>
    <col min="7" max="7" width="14.140625" customWidth="1"/>
    <col min="8" max="8" width="11.140625" customWidth="1"/>
    <col min="9" max="9" width="14.7109375" customWidth="1"/>
  </cols>
  <sheetData>
    <row r="1" spans="1:11" x14ac:dyDescent="0.2">
      <c r="I1" s="103" t="s">
        <v>277</v>
      </c>
      <c r="J1" s="102"/>
      <c r="K1" s="102"/>
    </row>
    <row r="2" spans="1:11" x14ac:dyDescent="0.2">
      <c r="I2" s="100" t="s">
        <v>264</v>
      </c>
      <c r="J2" s="102"/>
    </row>
    <row r="3" spans="1:11" x14ac:dyDescent="0.2">
      <c r="I3" s="101" t="s">
        <v>265</v>
      </c>
      <c r="J3" s="102"/>
    </row>
    <row r="4" spans="1:11" x14ac:dyDescent="0.2">
      <c r="I4" s="103" t="s">
        <v>278</v>
      </c>
      <c r="J4" s="102"/>
      <c r="K4" s="102"/>
    </row>
    <row r="5" spans="1:11" ht="21" customHeight="1" x14ac:dyDescent="0.2">
      <c r="A5" s="119" t="s">
        <v>130</v>
      </c>
      <c r="B5" s="119"/>
      <c r="C5" s="119"/>
      <c r="D5" s="119"/>
    </row>
    <row r="6" spans="1:11" x14ac:dyDescent="0.2">
      <c r="A6" s="44"/>
    </row>
    <row r="7" spans="1:11" x14ac:dyDescent="0.2">
      <c r="A7" s="117" t="s">
        <v>217</v>
      </c>
      <c r="B7" s="117"/>
      <c r="C7" s="117"/>
      <c r="D7" s="117"/>
      <c r="E7" s="117"/>
      <c r="F7" s="117"/>
      <c r="G7" s="117"/>
      <c r="H7" s="117"/>
    </row>
    <row r="8" spans="1:11" s="50" customFormat="1" x14ac:dyDescent="0.2">
      <c r="A8" s="19"/>
    </row>
    <row r="9" spans="1:11" s="50" customFormat="1" x14ac:dyDescent="0.2">
      <c r="A9" s="118" t="s">
        <v>307</v>
      </c>
      <c r="B9" s="118"/>
      <c r="C9" s="118"/>
      <c r="D9" s="118"/>
      <c r="E9" s="118"/>
      <c r="F9" s="118"/>
      <c r="G9" s="118"/>
      <c r="H9" s="118"/>
      <c r="I9" s="29"/>
    </row>
    <row r="10" spans="1:11" s="50" customFormat="1" ht="13.5" thickBot="1" x14ac:dyDescent="0.25">
      <c r="A10" s="45"/>
      <c r="I10" s="29" t="s">
        <v>79</v>
      </c>
    </row>
    <row r="11" spans="1:11" ht="12.75" customHeight="1" x14ac:dyDescent="0.2">
      <c r="A11" s="124" t="s">
        <v>218</v>
      </c>
      <c r="B11" s="51" t="s">
        <v>6</v>
      </c>
      <c r="C11" s="126" t="s">
        <v>219</v>
      </c>
      <c r="D11" s="126"/>
      <c r="E11" s="126"/>
      <c r="F11" s="126"/>
      <c r="G11" s="126"/>
      <c r="H11" s="126" t="s">
        <v>70</v>
      </c>
      <c r="I11" s="122" t="s">
        <v>220</v>
      </c>
    </row>
    <row r="12" spans="1:11" ht="89.25" x14ac:dyDescent="0.2">
      <c r="A12" s="125"/>
      <c r="B12" s="52"/>
      <c r="C12" s="52" t="s">
        <v>64</v>
      </c>
      <c r="D12" s="52" t="s">
        <v>65</v>
      </c>
      <c r="E12" s="52" t="s">
        <v>66</v>
      </c>
      <c r="F12" s="52" t="s">
        <v>67</v>
      </c>
      <c r="G12" s="52" t="s">
        <v>221</v>
      </c>
      <c r="H12" s="127"/>
      <c r="I12" s="123"/>
    </row>
    <row r="13" spans="1:11" s="36" customFormat="1" x14ac:dyDescent="0.2">
      <c r="A13" s="33" t="s">
        <v>222</v>
      </c>
      <c r="B13" s="34" t="s">
        <v>11</v>
      </c>
      <c r="C13" s="53">
        <v>332977</v>
      </c>
      <c r="D13" s="53">
        <v>0</v>
      </c>
      <c r="E13" s="53">
        <v>0</v>
      </c>
      <c r="F13" s="53">
        <v>44710</v>
      </c>
      <c r="G13" s="53">
        <v>343382</v>
      </c>
      <c r="H13" s="53">
        <v>0</v>
      </c>
      <c r="I13" s="54">
        <f>SUM(C13:H13)</f>
        <v>721069</v>
      </c>
    </row>
    <row r="14" spans="1:11" x14ac:dyDescent="0.2">
      <c r="A14" s="30" t="s">
        <v>223</v>
      </c>
      <c r="B14" s="31" t="s">
        <v>13</v>
      </c>
      <c r="C14" s="55"/>
      <c r="D14" s="55"/>
      <c r="E14" s="55"/>
      <c r="F14" s="55"/>
      <c r="G14" s="55"/>
      <c r="H14" s="55"/>
      <c r="I14" s="54">
        <f t="shared" ref="I14:I45" si="0">SUM(C14:H14)</f>
        <v>0</v>
      </c>
    </row>
    <row r="15" spans="1:11" s="36" customFormat="1" x14ac:dyDescent="0.2">
      <c r="A15" s="33" t="s">
        <v>224</v>
      </c>
      <c r="B15" s="38">
        <v>100</v>
      </c>
      <c r="C15" s="55">
        <f t="shared" ref="C15:H15" si="1">C13+C14</f>
        <v>332977</v>
      </c>
      <c r="D15" s="55">
        <f t="shared" si="1"/>
        <v>0</v>
      </c>
      <c r="E15" s="55">
        <f t="shared" si="1"/>
        <v>0</v>
      </c>
      <c r="F15" s="55">
        <f t="shared" si="1"/>
        <v>44710</v>
      </c>
      <c r="G15" s="55">
        <f t="shared" si="1"/>
        <v>343382</v>
      </c>
      <c r="H15" s="55">
        <f t="shared" si="1"/>
        <v>0</v>
      </c>
      <c r="I15" s="54">
        <f>SUM(C15:H15)</f>
        <v>721069</v>
      </c>
    </row>
    <row r="16" spans="1:11" s="36" customFormat="1" ht="25.5" x14ac:dyDescent="0.2">
      <c r="A16" s="33" t="s">
        <v>225</v>
      </c>
      <c r="B16" s="38">
        <v>200</v>
      </c>
      <c r="C16" s="53">
        <f t="shared" ref="C16:H16" si="2">C17+C18</f>
        <v>0</v>
      </c>
      <c r="D16" s="53">
        <f t="shared" si="2"/>
        <v>0</v>
      </c>
      <c r="E16" s="53">
        <f t="shared" si="2"/>
        <v>0</v>
      </c>
      <c r="F16" s="53">
        <f t="shared" si="2"/>
        <v>-37222</v>
      </c>
      <c r="G16" s="53">
        <f t="shared" si="2"/>
        <v>144278</v>
      </c>
      <c r="H16" s="53">
        <f t="shared" si="2"/>
        <v>0</v>
      </c>
      <c r="I16" s="54">
        <f t="shared" si="0"/>
        <v>107056</v>
      </c>
    </row>
    <row r="17" spans="1:9" x14ac:dyDescent="0.2">
      <c r="A17" s="30" t="s">
        <v>226</v>
      </c>
      <c r="B17" s="39">
        <v>210</v>
      </c>
      <c r="C17" s="55"/>
      <c r="D17" s="55"/>
      <c r="E17" s="55"/>
      <c r="F17" s="55"/>
      <c r="G17" s="55">
        <v>107056</v>
      </c>
      <c r="H17" s="55"/>
      <c r="I17" s="54">
        <f t="shared" si="0"/>
        <v>107056</v>
      </c>
    </row>
    <row r="18" spans="1:9" s="56" customFormat="1" ht="25.5" x14ac:dyDescent="0.2">
      <c r="A18" s="30" t="s">
        <v>227</v>
      </c>
      <c r="B18" s="39">
        <v>220</v>
      </c>
      <c r="C18" s="55">
        <f t="shared" ref="C18:H18" si="3">SUM(C20:C28)</f>
        <v>0</v>
      </c>
      <c r="D18" s="55">
        <f t="shared" si="3"/>
        <v>0</v>
      </c>
      <c r="E18" s="55">
        <f t="shared" si="3"/>
        <v>0</v>
      </c>
      <c r="F18" s="55">
        <f t="shared" si="3"/>
        <v>-37222</v>
      </c>
      <c r="G18" s="55">
        <f t="shared" si="3"/>
        <v>37222</v>
      </c>
      <c r="H18" s="55">
        <f t="shared" si="3"/>
        <v>0</v>
      </c>
      <c r="I18" s="54">
        <f t="shared" si="0"/>
        <v>0</v>
      </c>
    </row>
    <row r="19" spans="1:9" x14ac:dyDescent="0.2">
      <c r="A19" s="30" t="s">
        <v>110</v>
      </c>
      <c r="B19" s="39"/>
      <c r="C19" s="55"/>
      <c r="D19" s="55"/>
      <c r="E19" s="55"/>
      <c r="F19" s="55"/>
      <c r="G19" s="55"/>
      <c r="H19" s="55"/>
      <c r="I19" s="54">
        <f t="shared" si="0"/>
        <v>0</v>
      </c>
    </row>
    <row r="20" spans="1:9" ht="25.5" x14ac:dyDescent="0.2">
      <c r="A20" s="30" t="s">
        <v>228</v>
      </c>
      <c r="B20" s="39">
        <v>221</v>
      </c>
      <c r="C20" s="55"/>
      <c r="D20" s="55"/>
      <c r="E20" s="55"/>
      <c r="F20" s="55"/>
      <c r="G20" s="55"/>
      <c r="H20" s="55"/>
      <c r="I20" s="54">
        <f t="shared" si="0"/>
        <v>0</v>
      </c>
    </row>
    <row r="21" spans="1:9" ht="25.5" x14ac:dyDescent="0.2">
      <c r="A21" s="30" t="s">
        <v>229</v>
      </c>
      <c r="B21" s="39">
        <v>222</v>
      </c>
      <c r="C21" s="55"/>
      <c r="D21" s="55"/>
      <c r="E21" s="55"/>
      <c r="F21" s="55">
        <v>-37222</v>
      </c>
      <c r="G21" s="55">
        <v>37222</v>
      </c>
      <c r="H21" s="55"/>
      <c r="I21" s="54">
        <f t="shared" si="0"/>
        <v>0</v>
      </c>
    </row>
    <row r="22" spans="1:9" ht="38.25" x14ac:dyDescent="0.2">
      <c r="A22" s="30" t="s">
        <v>230</v>
      </c>
      <c r="B22" s="39">
        <v>223</v>
      </c>
      <c r="C22" s="55"/>
      <c r="D22" s="55"/>
      <c r="E22" s="55"/>
      <c r="F22" s="55"/>
      <c r="G22" s="55"/>
      <c r="H22" s="55"/>
      <c r="I22" s="54">
        <f t="shared" si="0"/>
        <v>0</v>
      </c>
    </row>
    <row r="23" spans="1:9" ht="51" x14ac:dyDescent="0.2">
      <c r="A23" s="30" t="s">
        <v>113</v>
      </c>
      <c r="B23" s="39">
        <v>224</v>
      </c>
      <c r="C23" s="55"/>
      <c r="D23" s="55"/>
      <c r="E23" s="55"/>
      <c r="F23" s="55"/>
      <c r="G23" s="55"/>
      <c r="H23" s="55"/>
      <c r="I23" s="54">
        <f t="shared" si="0"/>
        <v>0</v>
      </c>
    </row>
    <row r="24" spans="1:9" ht="25.5" x14ac:dyDescent="0.2">
      <c r="A24" s="30" t="s">
        <v>114</v>
      </c>
      <c r="B24" s="39">
        <v>225</v>
      </c>
      <c r="C24" s="55"/>
      <c r="D24" s="55"/>
      <c r="E24" s="55"/>
      <c r="F24" s="55"/>
      <c r="G24" s="55"/>
      <c r="H24" s="55"/>
      <c r="I24" s="54">
        <f t="shared" si="0"/>
        <v>0</v>
      </c>
    </row>
    <row r="25" spans="1:9" ht="25.5" x14ac:dyDescent="0.2">
      <c r="A25" s="30" t="s">
        <v>115</v>
      </c>
      <c r="B25" s="39">
        <v>226</v>
      </c>
      <c r="C25" s="55"/>
      <c r="D25" s="55"/>
      <c r="E25" s="55"/>
      <c r="F25" s="55"/>
      <c r="G25" s="55"/>
      <c r="H25" s="55"/>
      <c r="I25" s="54">
        <f t="shared" si="0"/>
        <v>0</v>
      </c>
    </row>
    <row r="26" spans="1:9" ht="25.5" x14ac:dyDescent="0.2">
      <c r="A26" s="30" t="s">
        <v>231</v>
      </c>
      <c r="B26" s="39">
        <v>227</v>
      </c>
      <c r="C26" s="55"/>
      <c r="D26" s="55"/>
      <c r="E26" s="55"/>
      <c r="F26" s="55"/>
      <c r="G26" s="55"/>
      <c r="H26" s="55"/>
      <c r="I26" s="54">
        <f t="shared" si="0"/>
        <v>0</v>
      </c>
    </row>
    <row r="27" spans="1:9" ht="25.5" x14ac:dyDescent="0.2">
      <c r="A27" s="30" t="s">
        <v>117</v>
      </c>
      <c r="B27" s="39">
        <v>228</v>
      </c>
      <c r="C27" s="55"/>
      <c r="D27" s="55"/>
      <c r="E27" s="55"/>
      <c r="F27" s="55"/>
      <c r="G27" s="55"/>
      <c r="H27" s="55"/>
      <c r="I27" s="54">
        <f t="shared" si="0"/>
        <v>0</v>
      </c>
    </row>
    <row r="28" spans="1:9" ht="25.5" x14ac:dyDescent="0.2">
      <c r="A28" s="30" t="s">
        <v>118</v>
      </c>
      <c r="B28" s="39">
        <v>229</v>
      </c>
      <c r="C28" s="55"/>
      <c r="D28" s="55"/>
      <c r="E28" s="55"/>
      <c r="F28" s="55"/>
      <c r="G28" s="55"/>
      <c r="H28" s="55"/>
      <c r="I28" s="54">
        <f t="shared" si="0"/>
        <v>0</v>
      </c>
    </row>
    <row r="29" spans="1:9" s="36" customFormat="1" ht="25.5" x14ac:dyDescent="0.2">
      <c r="A29" s="33" t="s">
        <v>232</v>
      </c>
      <c r="B29" s="38">
        <v>300</v>
      </c>
      <c r="C29" s="53">
        <f t="shared" ref="C29:H29" si="4">SUM(C36:C43)+C31</f>
        <v>0</v>
      </c>
      <c r="D29" s="53">
        <f t="shared" si="4"/>
        <v>0</v>
      </c>
      <c r="E29" s="53">
        <f t="shared" si="4"/>
        <v>0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4">
        <f t="shared" si="0"/>
        <v>0</v>
      </c>
    </row>
    <row r="30" spans="1:9" x14ac:dyDescent="0.2">
      <c r="A30" s="30" t="s">
        <v>110</v>
      </c>
      <c r="B30" s="39"/>
      <c r="C30" s="55"/>
      <c r="D30" s="55"/>
      <c r="E30" s="55"/>
      <c r="F30" s="55"/>
      <c r="G30" s="55"/>
      <c r="H30" s="55"/>
      <c r="I30" s="54">
        <f t="shared" si="0"/>
        <v>0</v>
      </c>
    </row>
    <row r="31" spans="1:9" x14ac:dyDescent="0.2">
      <c r="A31" s="30" t="s">
        <v>233</v>
      </c>
      <c r="B31" s="39">
        <v>310</v>
      </c>
      <c r="C31" s="55"/>
      <c r="D31" s="55"/>
      <c r="E31" s="55"/>
      <c r="F31" s="55"/>
      <c r="G31" s="55"/>
      <c r="H31" s="55"/>
      <c r="I31" s="54">
        <f t="shared" si="0"/>
        <v>0</v>
      </c>
    </row>
    <row r="32" spans="1:9" x14ac:dyDescent="0.2">
      <c r="A32" s="30" t="s">
        <v>110</v>
      </c>
      <c r="B32" s="39"/>
      <c r="C32" s="55"/>
      <c r="D32" s="55"/>
      <c r="E32" s="55"/>
      <c r="F32" s="55"/>
      <c r="G32" s="55"/>
      <c r="H32" s="55"/>
      <c r="I32" s="54">
        <f t="shared" si="0"/>
        <v>0</v>
      </c>
    </row>
    <row r="33" spans="1:9" x14ac:dyDescent="0.2">
      <c r="A33" s="30" t="s">
        <v>234</v>
      </c>
      <c r="B33" s="39"/>
      <c r="C33" s="55"/>
      <c r="D33" s="55"/>
      <c r="E33" s="55"/>
      <c r="F33" s="55"/>
      <c r="G33" s="55"/>
      <c r="H33" s="55"/>
      <c r="I33" s="54">
        <f t="shared" si="0"/>
        <v>0</v>
      </c>
    </row>
    <row r="34" spans="1:9" ht="25.5" x14ac:dyDescent="0.2">
      <c r="A34" s="30" t="s">
        <v>235</v>
      </c>
      <c r="B34" s="39"/>
      <c r="C34" s="55"/>
      <c r="D34" s="55"/>
      <c r="E34" s="55"/>
      <c r="F34" s="55"/>
      <c r="G34" s="55"/>
      <c r="H34" s="55"/>
      <c r="I34" s="54">
        <f t="shared" si="0"/>
        <v>0</v>
      </c>
    </row>
    <row r="35" spans="1:9" ht="25.5" x14ac:dyDescent="0.2">
      <c r="A35" s="30" t="s">
        <v>236</v>
      </c>
      <c r="B35" s="39"/>
      <c r="C35" s="55"/>
      <c r="D35" s="55"/>
      <c r="E35" s="55"/>
      <c r="F35" s="55"/>
      <c r="G35" s="55"/>
      <c r="H35" s="55"/>
      <c r="I35" s="54">
        <f t="shared" si="0"/>
        <v>0</v>
      </c>
    </row>
    <row r="36" spans="1:9" x14ac:dyDescent="0.2">
      <c r="A36" s="30" t="s">
        <v>237</v>
      </c>
      <c r="B36" s="39">
        <v>311</v>
      </c>
      <c r="C36" s="55"/>
      <c r="D36" s="55"/>
      <c r="E36" s="55"/>
      <c r="F36" s="55"/>
      <c r="G36" s="55"/>
      <c r="H36" s="55"/>
      <c r="I36" s="54">
        <f t="shared" si="0"/>
        <v>0</v>
      </c>
    </row>
    <row r="37" spans="1:9" ht="25.5" x14ac:dyDescent="0.2">
      <c r="A37" s="30" t="s">
        <v>238</v>
      </c>
      <c r="B37" s="39">
        <v>312</v>
      </c>
      <c r="C37" s="55"/>
      <c r="D37" s="55"/>
      <c r="E37" s="55"/>
      <c r="F37" s="55"/>
      <c r="G37" s="55"/>
      <c r="H37" s="55"/>
      <c r="I37" s="54">
        <f t="shared" si="0"/>
        <v>0</v>
      </c>
    </row>
    <row r="38" spans="1:9" ht="25.5" x14ac:dyDescent="0.2">
      <c r="A38" s="30" t="s">
        <v>239</v>
      </c>
      <c r="B38" s="39">
        <v>313</v>
      </c>
      <c r="C38" s="55"/>
      <c r="D38" s="55"/>
      <c r="E38" s="55"/>
      <c r="F38" s="55"/>
      <c r="G38" s="55"/>
      <c r="H38" s="55"/>
      <c r="I38" s="54">
        <f t="shared" si="0"/>
        <v>0</v>
      </c>
    </row>
    <row r="39" spans="1:9" ht="25.5" x14ac:dyDescent="0.2">
      <c r="A39" s="30" t="s">
        <v>240</v>
      </c>
      <c r="B39" s="39">
        <v>314</v>
      </c>
      <c r="C39" s="55"/>
      <c r="D39" s="55"/>
      <c r="E39" s="55"/>
      <c r="F39" s="55"/>
      <c r="G39" s="55"/>
      <c r="H39" s="55"/>
      <c r="I39" s="54">
        <f t="shared" si="0"/>
        <v>0</v>
      </c>
    </row>
    <row r="40" spans="1:9" x14ac:dyDescent="0.2">
      <c r="A40" s="30" t="s">
        <v>241</v>
      </c>
      <c r="B40" s="39">
        <v>315</v>
      </c>
      <c r="C40" s="55"/>
      <c r="D40" s="55"/>
      <c r="E40" s="55"/>
      <c r="F40" s="55"/>
      <c r="G40" s="55"/>
      <c r="H40" s="55"/>
      <c r="I40" s="54">
        <f t="shared" si="0"/>
        <v>0</v>
      </c>
    </row>
    <row r="41" spans="1:9" x14ac:dyDescent="0.2">
      <c r="A41" s="30" t="s">
        <v>242</v>
      </c>
      <c r="B41" s="39">
        <v>316</v>
      </c>
      <c r="C41" s="55"/>
      <c r="D41" s="55"/>
      <c r="E41" s="55"/>
      <c r="F41" s="55"/>
      <c r="G41" s="55"/>
      <c r="H41" s="55"/>
      <c r="I41" s="54">
        <f t="shared" si="0"/>
        <v>0</v>
      </c>
    </row>
    <row r="42" spans="1:9" x14ac:dyDescent="0.2">
      <c r="A42" s="30" t="s">
        <v>243</v>
      </c>
      <c r="B42" s="39">
        <v>317</v>
      </c>
      <c r="C42" s="55"/>
      <c r="D42" s="55"/>
      <c r="E42" s="55"/>
      <c r="F42" s="55"/>
      <c r="G42" s="55"/>
      <c r="H42" s="55"/>
      <c r="I42" s="54">
        <f t="shared" si="0"/>
        <v>0</v>
      </c>
    </row>
    <row r="43" spans="1:9" ht="25.5" x14ac:dyDescent="0.2">
      <c r="A43" s="30" t="s">
        <v>244</v>
      </c>
      <c r="B43" s="39">
        <v>318</v>
      </c>
      <c r="C43" s="55"/>
      <c r="D43" s="55"/>
      <c r="E43" s="55"/>
      <c r="F43" s="55"/>
      <c r="G43" s="55"/>
      <c r="H43" s="55"/>
      <c r="I43" s="54">
        <f t="shared" si="0"/>
        <v>0</v>
      </c>
    </row>
    <row r="44" spans="1:9" s="86" customFormat="1" ht="25.5" x14ac:dyDescent="0.2">
      <c r="A44" s="82" t="s">
        <v>245</v>
      </c>
      <c r="B44" s="83">
        <v>400</v>
      </c>
      <c r="C44" s="84">
        <f t="shared" ref="C44:H44" si="5">C15+C16+C29</f>
        <v>332977</v>
      </c>
      <c r="D44" s="84">
        <f t="shared" si="5"/>
        <v>0</v>
      </c>
      <c r="E44" s="84">
        <f t="shared" si="5"/>
        <v>0</v>
      </c>
      <c r="F44" s="84">
        <f t="shared" si="5"/>
        <v>7488</v>
      </c>
      <c r="G44" s="84">
        <f t="shared" si="5"/>
        <v>487660</v>
      </c>
      <c r="H44" s="84">
        <f t="shared" si="5"/>
        <v>0</v>
      </c>
      <c r="I44" s="85">
        <f t="shared" si="0"/>
        <v>828125</v>
      </c>
    </row>
    <row r="45" spans="1:9" x14ac:dyDescent="0.2">
      <c r="A45" s="30" t="s">
        <v>223</v>
      </c>
      <c r="B45" s="39">
        <v>401</v>
      </c>
      <c r="C45" s="55"/>
      <c r="D45" s="55"/>
      <c r="E45" s="55"/>
      <c r="F45" s="55"/>
      <c r="G45" s="55"/>
      <c r="H45" s="55"/>
      <c r="I45" s="54">
        <f t="shared" si="0"/>
        <v>0</v>
      </c>
    </row>
    <row r="46" spans="1:9" x14ac:dyDescent="0.2">
      <c r="A46" s="30" t="s">
        <v>246</v>
      </c>
      <c r="B46" s="39">
        <v>500</v>
      </c>
      <c r="C46" s="55">
        <f t="shared" ref="C46:H46" si="6">C44+C45</f>
        <v>332977</v>
      </c>
      <c r="D46" s="55">
        <f t="shared" si="6"/>
        <v>0</v>
      </c>
      <c r="E46" s="55">
        <f t="shared" si="6"/>
        <v>0</v>
      </c>
      <c r="F46" s="55">
        <f t="shared" si="6"/>
        <v>7488</v>
      </c>
      <c r="G46" s="55">
        <f t="shared" si="6"/>
        <v>487660</v>
      </c>
      <c r="H46" s="55">
        <f t="shared" si="6"/>
        <v>0</v>
      </c>
      <c r="I46" s="54">
        <f t="shared" ref="I46:I75" si="7">SUM(C46:H46)</f>
        <v>828125</v>
      </c>
    </row>
    <row r="47" spans="1:9" s="36" customFormat="1" ht="25.5" x14ac:dyDescent="0.2">
      <c r="A47" s="33" t="s">
        <v>247</v>
      </c>
      <c r="B47" s="38">
        <v>600</v>
      </c>
      <c r="C47" s="53">
        <f t="shared" ref="C47:H47" si="8">C48+C49</f>
        <v>0</v>
      </c>
      <c r="D47" s="53">
        <f t="shared" si="8"/>
        <v>0</v>
      </c>
      <c r="E47" s="53">
        <f t="shared" si="8"/>
        <v>0</v>
      </c>
      <c r="F47" s="53">
        <f t="shared" si="8"/>
        <v>0</v>
      </c>
      <c r="G47" s="53">
        <f t="shared" si="8"/>
        <v>-82200</v>
      </c>
      <c r="H47" s="53">
        <f t="shared" si="8"/>
        <v>0</v>
      </c>
      <c r="I47" s="54">
        <f t="shared" si="7"/>
        <v>-82200</v>
      </c>
    </row>
    <row r="48" spans="1:9" x14ac:dyDescent="0.2">
      <c r="A48" s="30" t="s">
        <v>248</v>
      </c>
      <c r="B48" s="39">
        <v>610</v>
      </c>
      <c r="C48" s="55"/>
      <c r="D48" s="55"/>
      <c r="E48" s="55"/>
      <c r="F48" s="55"/>
      <c r="G48" s="71">
        <f>ОПиУ!C29</f>
        <v>-82200</v>
      </c>
      <c r="H48" s="55"/>
      <c r="I48" s="54">
        <f t="shared" si="7"/>
        <v>-82200</v>
      </c>
    </row>
    <row r="49" spans="1:9" ht="25.5" x14ac:dyDescent="0.2">
      <c r="A49" s="30" t="s">
        <v>249</v>
      </c>
      <c r="B49" s="39">
        <v>620</v>
      </c>
      <c r="C49" s="55">
        <f>SUM(C51:C59)</f>
        <v>0</v>
      </c>
      <c r="D49" s="55">
        <f>SUM(D51:D59)</f>
        <v>0</v>
      </c>
      <c r="E49" s="55">
        <f>SUM(E51:E59)</f>
        <v>0</v>
      </c>
      <c r="F49" s="55">
        <f>F51+F52+F53+F54+F55+F56+F57+F58+F59</f>
        <v>0</v>
      </c>
      <c r="G49" s="55">
        <f>G51+G52+G53+G54+G55+G56+G57+G58+G59</f>
        <v>0</v>
      </c>
      <c r="H49" s="55">
        <f>SUM(H51:H59)</f>
        <v>0</v>
      </c>
      <c r="I49" s="54">
        <f t="shared" si="7"/>
        <v>0</v>
      </c>
    </row>
    <row r="50" spans="1:9" x14ac:dyDescent="0.2">
      <c r="A50" s="30" t="s">
        <v>110</v>
      </c>
      <c r="B50" s="39"/>
      <c r="C50" s="55"/>
      <c r="D50" s="55"/>
      <c r="E50" s="55"/>
      <c r="F50" s="55"/>
      <c r="G50" s="55"/>
      <c r="H50" s="55"/>
      <c r="I50" s="54">
        <f t="shared" si="7"/>
        <v>0</v>
      </c>
    </row>
    <row r="51" spans="1:9" ht="25.5" x14ac:dyDescent="0.2">
      <c r="A51" s="30" t="s">
        <v>228</v>
      </c>
      <c r="B51" s="39">
        <v>621</v>
      </c>
      <c r="C51" s="55"/>
      <c r="D51" s="55"/>
      <c r="E51" s="55"/>
      <c r="F51" s="55"/>
      <c r="G51" s="55"/>
      <c r="H51" s="55"/>
      <c r="I51" s="54">
        <f t="shared" si="7"/>
        <v>0</v>
      </c>
    </row>
    <row r="52" spans="1:9" ht="25.5" x14ac:dyDescent="0.2">
      <c r="A52" s="30" t="s">
        <v>229</v>
      </c>
      <c r="B52" s="39">
        <v>622</v>
      </c>
      <c r="C52" s="55"/>
      <c r="D52" s="55"/>
      <c r="E52" s="55"/>
      <c r="F52" s="55"/>
      <c r="G52" s="55"/>
      <c r="H52" s="55"/>
      <c r="I52" s="54">
        <f t="shared" si="7"/>
        <v>0</v>
      </c>
    </row>
    <row r="53" spans="1:9" ht="38.25" x14ac:dyDescent="0.2">
      <c r="A53" s="30" t="s">
        <v>230</v>
      </c>
      <c r="B53" s="39">
        <v>623</v>
      </c>
      <c r="C53" s="55"/>
      <c r="D53" s="55"/>
      <c r="E53" s="55"/>
      <c r="F53" s="55"/>
      <c r="G53" s="55"/>
      <c r="H53" s="55"/>
      <c r="I53" s="54">
        <f t="shared" si="7"/>
        <v>0</v>
      </c>
    </row>
    <row r="54" spans="1:9" ht="51" x14ac:dyDescent="0.2">
      <c r="A54" s="30" t="s">
        <v>113</v>
      </c>
      <c r="B54" s="39">
        <v>624</v>
      </c>
      <c r="C54" s="55"/>
      <c r="D54" s="55"/>
      <c r="E54" s="55"/>
      <c r="F54" s="55"/>
      <c r="G54" s="55"/>
      <c r="H54" s="55"/>
      <c r="I54" s="54">
        <f t="shared" si="7"/>
        <v>0</v>
      </c>
    </row>
    <row r="55" spans="1:9" ht="25.5" x14ac:dyDescent="0.2">
      <c r="A55" s="30" t="s">
        <v>114</v>
      </c>
      <c r="B55" s="39">
        <v>625</v>
      </c>
      <c r="C55" s="55"/>
      <c r="D55" s="55"/>
      <c r="E55" s="55"/>
      <c r="F55" s="55"/>
      <c r="G55" s="55"/>
      <c r="H55" s="55"/>
      <c r="I55" s="54">
        <f t="shared" si="7"/>
        <v>0</v>
      </c>
    </row>
    <row r="56" spans="1:9" ht="25.5" x14ac:dyDescent="0.2">
      <c r="A56" s="30" t="s">
        <v>250</v>
      </c>
      <c r="B56" s="39">
        <v>626</v>
      </c>
      <c r="C56" s="55"/>
      <c r="D56" s="55"/>
      <c r="E56" s="55"/>
      <c r="F56" s="55"/>
      <c r="G56" s="55"/>
      <c r="H56" s="55"/>
      <c r="I56" s="54">
        <f t="shared" si="7"/>
        <v>0</v>
      </c>
    </row>
    <row r="57" spans="1:9" ht="25.5" x14ac:dyDescent="0.2">
      <c r="A57" s="30" t="s">
        <v>231</v>
      </c>
      <c r="B57" s="39">
        <v>627</v>
      </c>
      <c r="C57" s="55"/>
      <c r="D57" s="55"/>
      <c r="E57" s="55"/>
      <c r="F57" s="55"/>
      <c r="G57" s="55"/>
      <c r="H57" s="55"/>
      <c r="I57" s="54">
        <f t="shared" si="7"/>
        <v>0</v>
      </c>
    </row>
    <row r="58" spans="1:9" ht="25.5" x14ac:dyDescent="0.2">
      <c r="A58" s="30" t="s">
        <v>117</v>
      </c>
      <c r="B58" s="39">
        <v>628</v>
      </c>
      <c r="C58" s="55"/>
      <c r="D58" s="55"/>
      <c r="E58" s="55"/>
      <c r="F58" s="55"/>
      <c r="G58" s="55"/>
      <c r="H58" s="55"/>
      <c r="I58" s="54">
        <f t="shared" si="7"/>
        <v>0</v>
      </c>
    </row>
    <row r="59" spans="1:9" ht="25.5" x14ac:dyDescent="0.2">
      <c r="A59" s="30" t="s">
        <v>118</v>
      </c>
      <c r="B59" s="39">
        <v>629</v>
      </c>
      <c r="C59" s="55"/>
      <c r="D59" s="55"/>
      <c r="E59" s="55"/>
      <c r="F59" s="55"/>
      <c r="G59" s="55"/>
      <c r="H59" s="55"/>
      <c r="I59" s="54">
        <f t="shared" si="7"/>
        <v>0</v>
      </c>
    </row>
    <row r="60" spans="1:9" s="36" customFormat="1" ht="25.5" x14ac:dyDescent="0.2">
      <c r="A60" s="33" t="s">
        <v>251</v>
      </c>
      <c r="B60" s="38">
        <v>700</v>
      </c>
      <c r="C60" s="53">
        <f t="shared" ref="C60:H60" si="9">SUM(C67:C74)+C62</f>
        <v>0</v>
      </c>
      <c r="D60" s="53">
        <f t="shared" si="9"/>
        <v>0</v>
      </c>
      <c r="E60" s="53">
        <f t="shared" si="9"/>
        <v>0</v>
      </c>
      <c r="F60" s="53">
        <f t="shared" si="9"/>
        <v>0</v>
      </c>
      <c r="G60" s="53">
        <f t="shared" si="9"/>
        <v>-30985</v>
      </c>
      <c r="H60" s="53">
        <f t="shared" si="9"/>
        <v>0</v>
      </c>
      <c r="I60" s="54">
        <f t="shared" si="7"/>
        <v>-30985</v>
      </c>
    </row>
    <row r="61" spans="1:9" x14ac:dyDescent="0.2">
      <c r="A61" s="30" t="s">
        <v>110</v>
      </c>
      <c r="B61" s="39"/>
      <c r="C61" s="55"/>
      <c r="D61" s="55"/>
      <c r="E61" s="55"/>
      <c r="F61" s="55"/>
      <c r="G61" s="55"/>
      <c r="H61" s="55"/>
      <c r="I61" s="54">
        <f t="shared" si="7"/>
        <v>0</v>
      </c>
    </row>
    <row r="62" spans="1:9" x14ac:dyDescent="0.2">
      <c r="A62" s="30" t="s">
        <v>252</v>
      </c>
      <c r="B62" s="39">
        <v>710</v>
      </c>
      <c r="C62" s="55"/>
      <c r="D62" s="55"/>
      <c r="E62" s="55"/>
      <c r="F62" s="55"/>
      <c r="G62" s="55"/>
      <c r="H62" s="55"/>
      <c r="I62" s="54">
        <f t="shared" si="7"/>
        <v>0</v>
      </c>
    </row>
    <row r="63" spans="1:9" x14ac:dyDescent="0.2">
      <c r="A63" s="30" t="s">
        <v>110</v>
      </c>
      <c r="B63" s="39"/>
      <c r="C63" s="55"/>
      <c r="D63" s="55"/>
      <c r="E63" s="55"/>
      <c r="F63" s="55"/>
      <c r="G63" s="55"/>
      <c r="H63" s="55"/>
      <c r="I63" s="54">
        <f t="shared" si="7"/>
        <v>0</v>
      </c>
    </row>
    <row r="64" spans="1:9" x14ac:dyDescent="0.2">
      <c r="A64" s="30" t="s">
        <v>234</v>
      </c>
      <c r="B64" s="39"/>
      <c r="C64" s="55"/>
      <c r="D64" s="55"/>
      <c r="E64" s="55"/>
      <c r="F64" s="55"/>
      <c r="G64" s="55"/>
      <c r="H64" s="55"/>
      <c r="I64" s="54">
        <f t="shared" si="7"/>
        <v>0</v>
      </c>
    </row>
    <row r="65" spans="1:9" ht="25.5" x14ac:dyDescent="0.2">
      <c r="A65" s="30" t="s">
        <v>235</v>
      </c>
      <c r="B65" s="39"/>
      <c r="C65" s="55"/>
      <c r="D65" s="55"/>
      <c r="E65" s="55"/>
      <c r="F65" s="55"/>
      <c r="G65" s="55"/>
      <c r="H65" s="55"/>
      <c r="I65" s="54">
        <f t="shared" si="7"/>
        <v>0</v>
      </c>
    </row>
    <row r="66" spans="1:9" ht="25.5" x14ac:dyDescent="0.2">
      <c r="A66" s="30" t="s">
        <v>236</v>
      </c>
      <c r="B66" s="39"/>
      <c r="C66" s="55"/>
      <c r="D66" s="55"/>
      <c r="E66" s="55"/>
      <c r="F66" s="55"/>
      <c r="G66" s="55"/>
      <c r="H66" s="55"/>
      <c r="I66" s="54">
        <f t="shared" si="7"/>
        <v>0</v>
      </c>
    </row>
    <row r="67" spans="1:9" x14ac:dyDescent="0.2">
      <c r="A67" s="30" t="s">
        <v>237</v>
      </c>
      <c r="B67" s="39">
        <v>711</v>
      </c>
      <c r="C67" s="55"/>
      <c r="D67" s="55"/>
      <c r="E67" s="55"/>
      <c r="F67" s="55"/>
      <c r="G67" s="55"/>
      <c r="H67" s="55"/>
      <c r="I67" s="54">
        <f t="shared" si="7"/>
        <v>0</v>
      </c>
    </row>
    <row r="68" spans="1:9" ht="25.5" x14ac:dyDescent="0.2">
      <c r="A68" s="30" t="s">
        <v>238</v>
      </c>
      <c r="B68" s="39">
        <v>712</v>
      </c>
      <c r="C68" s="55"/>
      <c r="D68" s="55"/>
      <c r="E68" s="55"/>
      <c r="F68" s="55"/>
      <c r="G68" s="55"/>
      <c r="H68" s="55"/>
      <c r="I68" s="54">
        <f t="shared" si="7"/>
        <v>0</v>
      </c>
    </row>
    <row r="69" spans="1:9" ht="25.5" x14ac:dyDescent="0.2">
      <c r="A69" s="30" t="s">
        <v>253</v>
      </c>
      <c r="B69" s="39">
        <v>713</v>
      </c>
      <c r="C69" s="55"/>
      <c r="D69" s="55"/>
      <c r="E69" s="55"/>
      <c r="F69" s="55"/>
      <c r="G69" s="55"/>
      <c r="H69" s="55"/>
      <c r="I69" s="54">
        <f t="shared" si="7"/>
        <v>0</v>
      </c>
    </row>
    <row r="70" spans="1:9" ht="25.5" x14ac:dyDescent="0.2">
      <c r="A70" s="30" t="s">
        <v>240</v>
      </c>
      <c r="B70" s="39">
        <v>714</v>
      </c>
      <c r="C70" s="55"/>
      <c r="D70" s="55"/>
      <c r="E70" s="55"/>
      <c r="F70" s="55"/>
      <c r="G70" s="55"/>
      <c r="H70" s="55"/>
      <c r="I70" s="54">
        <f t="shared" si="7"/>
        <v>0</v>
      </c>
    </row>
    <row r="71" spans="1:9" x14ac:dyDescent="0.2">
      <c r="A71" s="30" t="s">
        <v>241</v>
      </c>
      <c r="B71" s="39">
        <v>715</v>
      </c>
      <c r="C71" s="55"/>
      <c r="D71" s="55"/>
      <c r="E71" s="55"/>
      <c r="F71" s="55"/>
      <c r="G71" s="55">
        <v>-30985</v>
      </c>
      <c r="H71" s="55"/>
      <c r="I71" s="54">
        <f t="shared" si="7"/>
        <v>-30985</v>
      </c>
    </row>
    <row r="72" spans="1:9" x14ac:dyDescent="0.2">
      <c r="A72" s="30" t="s">
        <v>242</v>
      </c>
      <c r="B72" s="39">
        <v>716</v>
      </c>
      <c r="C72" s="55"/>
      <c r="D72" s="55"/>
      <c r="E72" s="55"/>
      <c r="F72" s="55"/>
      <c r="G72" s="55"/>
      <c r="H72" s="55"/>
      <c r="I72" s="54">
        <f t="shared" si="7"/>
        <v>0</v>
      </c>
    </row>
    <row r="73" spans="1:9" x14ac:dyDescent="0.2">
      <c r="A73" s="30" t="s">
        <v>243</v>
      </c>
      <c r="B73" s="39">
        <v>717</v>
      </c>
      <c r="C73" s="55"/>
      <c r="D73" s="55"/>
      <c r="E73" s="55"/>
      <c r="F73" s="55"/>
      <c r="G73" s="55"/>
      <c r="H73" s="55"/>
      <c r="I73" s="54">
        <f t="shared" si="7"/>
        <v>0</v>
      </c>
    </row>
    <row r="74" spans="1:9" ht="25.5" x14ac:dyDescent="0.2">
      <c r="A74" s="30" t="s">
        <v>244</v>
      </c>
      <c r="B74" s="39">
        <v>718</v>
      </c>
      <c r="C74" s="55"/>
      <c r="D74" s="55"/>
      <c r="E74" s="55"/>
      <c r="F74" s="55"/>
      <c r="G74" s="55"/>
      <c r="H74" s="55"/>
      <c r="I74" s="54">
        <f t="shared" si="7"/>
        <v>0</v>
      </c>
    </row>
    <row r="75" spans="1:9" s="36" customFormat="1" ht="26.25" thickBot="1" x14ac:dyDescent="0.25">
      <c r="A75" s="57" t="s">
        <v>333</v>
      </c>
      <c r="B75" s="58">
        <v>800</v>
      </c>
      <c r="C75" s="59">
        <f t="shared" ref="C75:H75" si="10">C46+C47+C60</f>
        <v>332977</v>
      </c>
      <c r="D75" s="59">
        <f t="shared" si="10"/>
        <v>0</v>
      </c>
      <c r="E75" s="59">
        <f t="shared" si="10"/>
        <v>0</v>
      </c>
      <c r="F75" s="59">
        <f t="shared" si="10"/>
        <v>7488</v>
      </c>
      <c r="G75" s="60">
        <f>G46+G47+G60</f>
        <v>374475</v>
      </c>
      <c r="H75" s="59">
        <f t="shared" si="10"/>
        <v>0</v>
      </c>
      <c r="I75" s="87">
        <f t="shared" si="7"/>
        <v>714940</v>
      </c>
    </row>
    <row r="76" spans="1:9" x14ac:dyDescent="0.2">
      <c r="A76" s="61"/>
      <c r="B76" s="62"/>
      <c r="C76" s="62"/>
      <c r="D76" s="62"/>
      <c r="E76" s="62"/>
      <c r="F76" s="50"/>
      <c r="G76" s="50"/>
      <c r="H76" s="50"/>
      <c r="I76" s="50"/>
    </row>
    <row r="77" spans="1:9" x14ac:dyDescent="0.2">
      <c r="A77" s="49"/>
      <c r="B77" s="50"/>
      <c r="C77" s="50"/>
      <c r="D77" s="50"/>
      <c r="E77" s="50"/>
      <c r="F77" s="50"/>
      <c r="G77" s="50"/>
      <c r="H77" s="50"/>
      <c r="I77" s="50"/>
    </row>
    <row r="78" spans="1:9" x14ac:dyDescent="0.2">
      <c r="A78" s="22" t="s">
        <v>260</v>
      </c>
      <c r="B78" s="2"/>
      <c r="C78" s="2"/>
      <c r="D78" s="2"/>
      <c r="E78" s="26"/>
      <c r="F78" s="50"/>
      <c r="G78" s="50"/>
      <c r="H78" s="50"/>
      <c r="I78" s="50"/>
    </row>
    <row r="79" spans="1:9" x14ac:dyDescent="0.2">
      <c r="A79" s="21" t="s">
        <v>73</v>
      </c>
      <c r="B79" s="2"/>
      <c r="C79" s="2"/>
      <c r="D79" s="2"/>
      <c r="E79" s="27"/>
      <c r="G79" s="50"/>
      <c r="H79" s="50"/>
      <c r="I79" s="50"/>
    </row>
    <row r="80" spans="1:9" x14ac:dyDescent="0.2">
      <c r="A80" s="22" t="s">
        <v>262</v>
      </c>
      <c r="B80" s="2"/>
      <c r="C80" s="2"/>
      <c r="D80" s="2"/>
      <c r="E80" s="2"/>
      <c r="G80" s="50"/>
      <c r="H80" s="50"/>
      <c r="I80" s="50"/>
    </row>
    <row r="81" spans="1:9" x14ac:dyDescent="0.2">
      <c r="A81" s="21" t="s">
        <v>74</v>
      </c>
      <c r="B81" s="2"/>
      <c r="C81" s="2"/>
      <c r="D81" s="2"/>
      <c r="E81" s="21"/>
      <c r="G81" s="50"/>
      <c r="H81" s="50"/>
      <c r="I81" s="50"/>
    </row>
    <row r="82" spans="1:9" x14ac:dyDescent="0.2">
      <c r="A82" s="21"/>
      <c r="B82" s="2"/>
      <c r="C82" s="2"/>
      <c r="D82" s="2"/>
      <c r="G82" s="50"/>
      <c r="H82" s="50"/>
      <c r="I82" s="50"/>
    </row>
    <row r="83" spans="1:9" x14ac:dyDescent="0.2">
      <c r="A83" s="23" t="s">
        <v>75</v>
      </c>
      <c r="B83" s="23"/>
      <c r="C83" s="23"/>
      <c r="D83" s="23"/>
      <c r="E83" s="50"/>
      <c r="F83" s="50"/>
      <c r="G83" s="50"/>
      <c r="H83" s="50"/>
      <c r="I83" s="50"/>
    </row>
    <row r="84" spans="1:9" x14ac:dyDescent="0.2">
      <c r="A84" s="24"/>
      <c r="B84" s="24"/>
      <c r="C84" s="25"/>
      <c r="D84" s="25"/>
      <c r="E84" s="50"/>
      <c r="F84" s="50"/>
      <c r="G84" s="50"/>
      <c r="H84" s="50"/>
      <c r="I84" s="50"/>
    </row>
    <row r="85" spans="1:9" x14ac:dyDescent="0.2">
      <c r="B85" s="50"/>
      <c r="C85" s="50"/>
      <c r="D85" s="50"/>
      <c r="E85" s="50"/>
      <c r="F85" s="50"/>
      <c r="G85" s="50"/>
      <c r="H85" s="50"/>
      <c r="I85" s="50"/>
    </row>
  </sheetData>
  <mergeCells count="7">
    <mergeCell ref="A5:D5"/>
    <mergeCell ref="I11:I12"/>
    <mergeCell ref="A9:H9"/>
    <mergeCell ref="A7:H7"/>
    <mergeCell ref="A11:A12"/>
    <mergeCell ref="C11:G11"/>
    <mergeCell ref="H11:H12"/>
  </mergeCells>
  <phoneticPr fontId="19" type="noConversion"/>
  <pageMargins left="0.78740157480314965" right="0.39370078740157483" top="0.59055118110236227" bottom="0.59055118110236227" header="0.51181102362204722" footer="0.51181102362204722"/>
  <pageSetup paperSize="9" scale="69" fitToHeight="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ОПиУ</vt:lpstr>
      <vt:lpstr>ОДД</vt:lpstr>
      <vt:lpstr>Капитал</vt:lpstr>
      <vt:lpstr>Капитал!Заголовки_для_печати</vt:lpstr>
      <vt:lpstr>баланс!Область_печати</vt:lpstr>
      <vt:lpstr>Капитал!Область_печати</vt:lpstr>
      <vt:lpstr>ОДД!Область_печати</vt:lpstr>
      <vt:lpstr>ОПиУ!Область_печати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User</cp:lastModifiedBy>
  <cp:lastPrinted>2016-08-19T03:53:05Z</cp:lastPrinted>
  <dcterms:created xsi:type="dcterms:W3CDTF">2013-08-22T06:01:59Z</dcterms:created>
  <dcterms:modified xsi:type="dcterms:W3CDTF">2016-08-19T11:12:09Z</dcterms:modified>
</cp:coreProperties>
</file>